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Volumes/ASG_cofaWorking/ASG_Cofa_working/Sync/Cause of America/Library/SHAWN UPLOAD/STATES/CO - SHAWN/"/>
    </mc:Choice>
  </mc:AlternateContent>
  <xr:revisionPtr revIDLastSave="0" documentId="8_{46AD61F4-DAE7-3240-8871-D6F5232CD651}" xr6:coauthVersionLast="47" xr6:coauthVersionMax="47" xr10:uidLastSave="{00000000-0000-0000-0000-000000000000}"/>
  <bookViews>
    <workbookView xWindow="25460" yWindow="15020" windowWidth="23040" windowHeight="10520" xr2:uid="{00000000-000D-0000-FFFF-FFFF00000000}"/>
  </bookViews>
  <sheets>
    <sheet name="Summary Comparison" sheetId="5" r:id="rId1"/>
    <sheet name="Clear Ballot Detail" sheetId="3" r:id="rId2"/>
    <sheet name="Dominion Detail" sheetId="1" r:id="rId3"/>
    <sheet name="ES&amp;S Detail" sheetId="4" r:id="rId4"/>
    <sheet name="Hart Detail" sheetId="2" r:id="rId5"/>
  </sheets>
  <definedNames>
    <definedName name="_xlnm.Print_Area" localSheetId="1">'Clear Ballot Detail'!$A$1:$M$38</definedName>
    <definedName name="_xlnm.Print_Area" localSheetId="2">'Dominion Detail'!$A$1:$M$41</definedName>
    <definedName name="_xlnm.Print_Area" localSheetId="3">'ES&amp;S Detail'!$A$1:$M$46</definedName>
    <definedName name="_xlnm.Print_Area" localSheetId="4">'Hart Detail'!$A$1:$M$49</definedName>
    <definedName name="_xlnm.Print_Area" localSheetId="0">'Summary Comparison'!$A$1:$N$39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4" l="1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L30" i="4"/>
  <c r="K30" i="4"/>
  <c r="J30" i="4"/>
  <c r="M29" i="4"/>
  <c r="M35" i="4" s="1"/>
  <c r="L29" i="4"/>
  <c r="L35" i="4" s="1"/>
  <c r="K29" i="4"/>
  <c r="K35" i="4" s="1"/>
  <c r="J29" i="4"/>
  <c r="J35" i="4" s="1"/>
  <c r="I28" i="4"/>
  <c r="H28" i="4"/>
  <c r="G28" i="4"/>
  <c r="F28" i="4"/>
  <c r="E28" i="4"/>
  <c r="D28" i="4"/>
  <c r="I27" i="4"/>
  <c r="I35" i="4" s="1"/>
  <c r="H27" i="4"/>
  <c r="H35" i="4" s="1"/>
  <c r="G27" i="4"/>
  <c r="F27" i="4"/>
  <c r="E27" i="4"/>
  <c r="D27" i="4"/>
  <c r="D35" i="4" s="1"/>
  <c r="C26" i="4"/>
  <c r="B26" i="4"/>
  <c r="C25" i="4"/>
  <c r="C35" i="4" s="1"/>
  <c r="B25" i="4"/>
  <c r="B35" i="4" s="1"/>
  <c r="M20" i="4"/>
  <c r="M39" i="4" s="1"/>
  <c r="L20" i="4"/>
  <c r="L39" i="4" s="1"/>
  <c r="K20" i="4"/>
  <c r="K39" i="4" s="1"/>
  <c r="J20" i="4"/>
  <c r="J39" i="4" s="1"/>
  <c r="I20" i="4"/>
  <c r="I39" i="4" s="1"/>
  <c r="H20" i="4"/>
  <c r="H39" i="4" s="1"/>
  <c r="G20" i="4"/>
  <c r="F20" i="4"/>
  <c r="E20" i="4"/>
  <c r="D20" i="4"/>
  <c r="D39" i="4" s="1"/>
  <c r="C20" i="4"/>
  <c r="C39" i="4" s="1"/>
  <c r="B20" i="4"/>
  <c r="B39" i="4" s="1"/>
  <c r="L14" i="4"/>
  <c r="J14" i="4"/>
  <c r="H14" i="4"/>
  <c r="G14" i="4"/>
  <c r="E14" i="4"/>
  <c r="C14" i="4"/>
  <c r="M13" i="4"/>
  <c r="L13" i="4"/>
  <c r="K13" i="4"/>
  <c r="J13" i="4"/>
  <c r="I13" i="4"/>
  <c r="H13" i="4"/>
  <c r="G13" i="4"/>
  <c r="F13" i="4"/>
  <c r="E13" i="4"/>
  <c r="D13" i="4"/>
  <c r="C13" i="4"/>
  <c r="B13" i="4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L11" i="4"/>
  <c r="K11" i="4"/>
  <c r="J11" i="4"/>
  <c r="I11" i="4"/>
  <c r="H11" i="4"/>
  <c r="G11" i="4"/>
  <c r="F11" i="4"/>
  <c r="E11" i="4"/>
  <c r="D11" i="4"/>
  <c r="C11" i="4"/>
  <c r="B11" i="4"/>
  <c r="M10" i="4"/>
  <c r="L10" i="4"/>
  <c r="L16" i="4" s="1"/>
  <c r="L38" i="4" s="1"/>
  <c r="K10" i="4"/>
  <c r="J10" i="4"/>
  <c r="I9" i="4"/>
  <c r="H9" i="4"/>
  <c r="G9" i="4"/>
  <c r="F9" i="4"/>
  <c r="E9" i="4"/>
  <c r="D9" i="4"/>
  <c r="C8" i="4"/>
  <c r="B8" i="4"/>
  <c r="M7" i="4"/>
  <c r="K7" i="4"/>
  <c r="I7" i="4"/>
  <c r="G7" i="4"/>
  <c r="F7" i="4"/>
  <c r="F16" i="4" s="1"/>
  <c r="E7" i="4"/>
  <c r="D7" i="4"/>
  <c r="C7" i="4"/>
  <c r="B7" i="4"/>
  <c r="M4" i="4"/>
  <c r="K4" i="4"/>
  <c r="K16" i="4" s="1"/>
  <c r="I4" i="4"/>
  <c r="G4" i="4"/>
  <c r="E4" i="4"/>
  <c r="C4" i="4"/>
  <c r="G39" i="4" l="1"/>
  <c r="F38" i="4"/>
  <c r="I16" i="4"/>
  <c r="I38" i="4" s="1"/>
  <c r="B16" i="4"/>
  <c r="B38" i="4" s="1"/>
  <c r="E35" i="4"/>
  <c r="E39" i="4" s="1"/>
  <c r="G16" i="4"/>
  <c r="G38" i="4" s="1"/>
  <c r="H16" i="4"/>
  <c r="H38" i="4" s="1"/>
  <c r="F35" i="4"/>
  <c r="F39" i="4" s="1"/>
  <c r="E16" i="4"/>
  <c r="K38" i="4"/>
  <c r="M16" i="4"/>
  <c r="M38" i="4" s="1"/>
  <c r="J16" i="4"/>
  <c r="J38" i="4" s="1"/>
  <c r="C16" i="4"/>
  <c r="C38" i="4" s="1"/>
  <c r="D16" i="4"/>
  <c r="D38" i="4" s="1"/>
  <c r="G35" i="4"/>
  <c r="M8" i="1"/>
  <c r="L8" i="1"/>
  <c r="K8" i="1"/>
  <c r="J8" i="1"/>
  <c r="I8" i="1"/>
  <c r="H8" i="1"/>
  <c r="G8" i="1"/>
  <c r="F8" i="1"/>
  <c r="E8" i="1"/>
  <c r="D8" i="1"/>
  <c r="C8" i="1"/>
  <c r="B8" i="1"/>
  <c r="H30" i="5"/>
  <c r="G30" i="5"/>
  <c r="E38" i="4" l="1"/>
  <c r="K12" i="1" l="1"/>
  <c r="J12" i="1"/>
  <c r="I12" i="1"/>
  <c r="H12" i="1"/>
  <c r="G12" i="1"/>
  <c r="F12" i="1"/>
  <c r="E12" i="1"/>
  <c r="D12" i="1"/>
  <c r="C12" i="1"/>
  <c r="B12" i="1"/>
  <c r="M27" i="1"/>
  <c r="L27" i="1"/>
  <c r="K27" i="1"/>
  <c r="J27" i="1"/>
  <c r="I27" i="1"/>
  <c r="H27" i="1"/>
  <c r="G27" i="1"/>
  <c r="F27" i="1"/>
  <c r="E27" i="1"/>
  <c r="D27" i="1"/>
  <c r="C27" i="1"/>
  <c r="B27" i="1"/>
  <c r="L25" i="1"/>
  <c r="J25" i="1"/>
  <c r="H25" i="1"/>
  <c r="F25" i="1"/>
  <c r="D25" i="1"/>
  <c r="B25" i="1"/>
  <c r="M23" i="1"/>
  <c r="L23" i="1"/>
  <c r="K23" i="1"/>
  <c r="K29" i="1" s="1"/>
  <c r="J23" i="1"/>
  <c r="I23" i="1"/>
  <c r="H23" i="1"/>
  <c r="G23" i="1"/>
  <c r="F23" i="1"/>
  <c r="E23" i="1"/>
  <c r="D23" i="1"/>
  <c r="C23" i="1"/>
  <c r="B23" i="1"/>
  <c r="M21" i="1"/>
  <c r="L21" i="1"/>
  <c r="J21" i="1"/>
  <c r="I21" i="1"/>
  <c r="H21" i="1"/>
  <c r="G21" i="1"/>
  <c r="G29" i="1" s="1"/>
  <c r="F21" i="1"/>
  <c r="F29" i="1" s="1"/>
  <c r="E21" i="1"/>
  <c r="E29" i="1" s="1"/>
  <c r="D21" i="1"/>
  <c r="C21" i="1"/>
  <c r="B21" i="1"/>
  <c r="L13" i="1"/>
  <c r="J13" i="1"/>
  <c r="H13" i="1"/>
  <c r="F13" i="1"/>
  <c r="D13" i="1"/>
  <c r="B13" i="1"/>
  <c r="M12" i="1"/>
  <c r="L12" i="1"/>
  <c r="M11" i="1"/>
  <c r="L11" i="1"/>
  <c r="K11" i="1"/>
  <c r="J11" i="1"/>
  <c r="I11" i="1"/>
  <c r="H11" i="1"/>
  <c r="G11" i="1"/>
  <c r="F11" i="1"/>
  <c r="E11" i="1"/>
  <c r="D11" i="1"/>
  <c r="C11" i="1"/>
  <c r="B11" i="1"/>
  <c r="L10" i="1"/>
  <c r="J10" i="1"/>
  <c r="H10" i="1"/>
  <c r="F10" i="1"/>
  <c r="D10" i="1"/>
  <c r="B10" i="1"/>
  <c r="M6" i="1"/>
  <c r="M14" i="1" s="1"/>
  <c r="L6" i="1"/>
  <c r="K6" i="1"/>
  <c r="J6" i="1"/>
  <c r="I6" i="1"/>
  <c r="H5" i="1"/>
  <c r="G5" i="1"/>
  <c r="F5" i="1"/>
  <c r="E5" i="1"/>
  <c r="D5" i="1"/>
  <c r="C5" i="1"/>
  <c r="C14" i="1" s="1"/>
  <c r="B5" i="1"/>
  <c r="L14" i="1" l="1"/>
  <c r="F14" i="1"/>
  <c r="F32" i="1" s="1"/>
  <c r="H29" i="1"/>
  <c r="I29" i="1"/>
  <c r="E14" i="1"/>
  <c r="E32" i="1" s="1"/>
  <c r="B29" i="1"/>
  <c r="C32" i="1"/>
  <c r="J29" i="1"/>
  <c r="L29" i="1"/>
  <c r="D14" i="1"/>
  <c r="H14" i="1"/>
  <c r="H32" i="1" s="1"/>
  <c r="C29" i="1"/>
  <c r="B14" i="1"/>
  <c r="J14" i="1"/>
  <c r="D29" i="1"/>
  <c r="M29" i="1"/>
  <c r="M32" i="1" s="1"/>
  <c r="K14" i="1"/>
  <c r="K32" i="1" s="1"/>
  <c r="I14" i="1"/>
  <c r="I32" i="1" s="1"/>
  <c r="G14" i="1"/>
  <c r="G32" i="1" s="1"/>
  <c r="I35" i="2"/>
  <c r="H35" i="2"/>
  <c r="G35" i="2"/>
  <c r="F35" i="2"/>
  <c r="E35" i="2"/>
  <c r="D35" i="2"/>
  <c r="C35" i="2"/>
  <c r="B35" i="2"/>
  <c r="I33" i="2"/>
  <c r="H33" i="2"/>
  <c r="G33" i="2"/>
  <c r="F33" i="2"/>
  <c r="E33" i="2"/>
  <c r="D33" i="2"/>
  <c r="C33" i="2"/>
  <c r="B33" i="2"/>
  <c r="G32" i="2"/>
  <c r="F32" i="2"/>
  <c r="E32" i="2"/>
  <c r="D32" i="2"/>
  <c r="C32" i="2"/>
  <c r="B32" i="2"/>
  <c r="I31" i="2"/>
  <c r="I36" i="2" s="1"/>
  <c r="I21" i="2" s="1"/>
  <c r="H31" i="2"/>
  <c r="G31" i="2"/>
  <c r="F31" i="2"/>
  <c r="E31" i="2"/>
  <c r="E36" i="2" s="1"/>
  <c r="E21" i="2" s="1"/>
  <c r="D31" i="2"/>
  <c r="C31" i="2"/>
  <c r="C36" i="2" s="1"/>
  <c r="C21" i="2" s="1"/>
  <c r="B31" i="2"/>
  <c r="H30" i="2"/>
  <c r="F30" i="2"/>
  <c r="D30" i="2"/>
  <c r="B30" i="2"/>
  <c r="H29" i="2"/>
  <c r="H36" i="2" s="1"/>
  <c r="F29" i="2"/>
  <c r="F36" i="2" s="1"/>
  <c r="D29" i="2"/>
  <c r="B29" i="2"/>
  <c r="B36" i="2" s="1"/>
  <c r="B21" i="2" s="1"/>
  <c r="M21" i="2"/>
  <c r="L21" i="2"/>
  <c r="K21" i="2"/>
  <c r="J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2" i="2"/>
  <c r="J12" i="2"/>
  <c r="I11" i="2"/>
  <c r="H11" i="2"/>
  <c r="G11" i="2"/>
  <c r="F11" i="2"/>
  <c r="E11" i="2"/>
  <c r="D11" i="2"/>
  <c r="C11" i="2"/>
  <c r="B11" i="2"/>
  <c r="G10" i="2"/>
  <c r="F10" i="2"/>
  <c r="E10" i="2"/>
  <c r="D10" i="2"/>
  <c r="C10" i="2"/>
  <c r="B10" i="2"/>
  <c r="K9" i="2"/>
  <c r="J9" i="2"/>
  <c r="I9" i="2"/>
  <c r="H9" i="2"/>
  <c r="G9" i="2"/>
  <c r="F9" i="2"/>
  <c r="E9" i="2"/>
  <c r="D9" i="2"/>
  <c r="C9" i="2"/>
  <c r="B9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M6" i="2"/>
  <c r="M22" i="2" s="1"/>
  <c r="L6" i="2"/>
  <c r="K6" i="2"/>
  <c r="K22" i="2" s="1"/>
  <c r="J6" i="2"/>
  <c r="I6" i="2"/>
  <c r="H6" i="2"/>
  <c r="G6" i="2"/>
  <c r="F6" i="2"/>
  <c r="E6" i="2"/>
  <c r="E22" i="2" s="1"/>
  <c r="D6" i="2"/>
  <c r="C6" i="2"/>
  <c r="C22" i="2" s="1"/>
  <c r="B6" i="2"/>
  <c r="L5" i="2"/>
  <c r="J5" i="2"/>
  <c r="H5" i="2"/>
  <c r="F5" i="2"/>
  <c r="D5" i="2"/>
  <c r="B5" i="2"/>
  <c r="L4" i="2"/>
  <c r="J4" i="2"/>
  <c r="H4" i="2"/>
  <c r="F4" i="2"/>
  <c r="D4" i="2"/>
  <c r="B4" i="2"/>
  <c r="L3" i="2"/>
  <c r="J3" i="2"/>
  <c r="J22" i="2" s="1"/>
  <c r="G29" i="5" s="1"/>
  <c r="H3" i="2"/>
  <c r="F3" i="2"/>
  <c r="D3" i="2"/>
  <c r="B3" i="2"/>
  <c r="F21" i="2" l="1"/>
  <c r="E30" i="5"/>
  <c r="J32" i="1"/>
  <c r="G19" i="5" s="1"/>
  <c r="H21" i="2"/>
  <c r="F30" i="5"/>
  <c r="G36" i="2"/>
  <c r="G21" i="2" s="1"/>
  <c r="G22" i="2" s="1"/>
  <c r="B32" i="1"/>
  <c r="C19" i="5" s="1"/>
  <c r="B22" i="2"/>
  <c r="C29" i="5" s="1"/>
  <c r="I22" i="2"/>
  <c r="I25" i="2" s="1"/>
  <c r="C30" i="5"/>
  <c r="L22" i="2"/>
  <c r="H29" i="5" s="1"/>
  <c r="F22" i="2"/>
  <c r="E29" i="5" s="1"/>
  <c r="E39" i="5" s="1"/>
  <c r="D32" i="1"/>
  <c r="D19" i="5" s="1"/>
  <c r="H22" i="2"/>
  <c r="F29" i="5" s="1"/>
  <c r="F39" i="5" s="1"/>
  <c r="D36" i="2"/>
  <c r="L32" i="1"/>
  <c r="C39" i="2"/>
  <c r="C25" i="2"/>
  <c r="E39" i="2"/>
  <c r="E25" i="2"/>
  <c r="I39" i="2"/>
  <c r="M39" i="2"/>
  <c r="M25" i="2"/>
  <c r="B39" i="2"/>
  <c r="C31" i="5" s="1"/>
  <c r="B25" i="2"/>
  <c r="F25" i="2"/>
  <c r="J39" i="2"/>
  <c r="G31" i="5" s="1"/>
  <c r="J25" i="2"/>
  <c r="L39" i="2"/>
  <c r="H31" i="5" s="1"/>
  <c r="L25" i="2"/>
  <c r="K39" i="2"/>
  <c r="K25" i="2"/>
  <c r="H39" i="5"/>
  <c r="G39" i="5"/>
  <c r="C39" i="5"/>
  <c r="H25" i="5"/>
  <c r="G25" i="5"/>
  <c r="F25" i="5"/>
  <c r="E25" i="5"/>
  <c r="D25" i="5"/>
  <c r="C25" i="5"/>
  <c r="H24" i="5"/>
  <c r="G24" i="5"/>
  <c r="F24" i="5"/>
  <c r="E24" i="5"/>
  <c r="D24" i="5"/>
  <c r="C24" i="5"/>
  <c r="H23" i="5"/>
  <c r="H38" i="5" s="1"/>
  <c r="G23" i="5"/>
  <c r="G38" i="5" s="1"/>
  <c r="F23" i="5"/>
  <c r="F38" i="5" s="1"/>
  <c r="E23" i="5"/>
  <c r="E38" i="5" s="1"/>
  <c r="D23" i="5"/>
  <c r="D38" i="5" s="1"/>
  <c r="C23" i="5"/>
  <c r="C38" i="5" s="1"/>
  <c r="H19" i="5"/>
  <c r="F19" i="5"/>
  <c r="E19" i="5"/>
  <c r="H18" i="5"/>
  <c r="G18" i="5"/>
  <c r="F18" i="5"/>
  <c r="E18" i="5"/>
  <c r="D18" i="5"/>
  <c r="C18" i="5"/>
  <c r="H17" i="5"/>
  <c r="H37" i="5" s="1"/>
  <c r="G17" i="5"/>
  <c r="G37" i="5" s="1"/>
  <c r="F17" i="5"/>
  <c r="F37" i="5" s="1"/>
  <c r="E17" i="5"/>
  <c r="E37" i="5" s="1"/>
  <c r="D17" i="5"/>
  <c r="D37" i="5" s="1"/>
  <c r="C17" i="5"/>
  <c r="C37" i="5" s="1"/>
  <c r="M17" i="3"/>
  <c r="M22" i="3"/>
  <c r="M28" i="3" s="1"/>
  <c r="M32" i="3" s="1"/>
  <c r="M23" i="3"/>
  <c r="M27" i="3"/>
  <c r="L17" i="3"/>
  <c r="L20" i="3"/>
  <c r="L21" i="3"/>
  <c r="L28" i="3" s="1"/>
  <c r="L22" i="3"/>
  <c r="L23" i="3"/>
  <c r="L27" i="3"/>
  <c r="K17" i="3"/>
  <c r="K32" i="3" s="1"/>
  <c r="K22" i="3"/>
  <c r="K23" i="3"/>
  <c r="K27" i="3"/>
  <c r="K28" i="3"/>
  <c r="J17" i="3"/>
  <c r="J32" i="3" s="1"/>
  <c r="J20" i="3"/>
  <c r="J21" i="3"/>
  <c r="J22" i="3"/>
  <c r="J23" i="3"/>
  <c r="J27" i="3"/>
  <c r="J28" i="3"/>
  <c r="G12" i="5" s="1"/>
  <c r="I17" i="3"/>
  <c r="I22" i="3"/>
  <c r="I28" i="3" s="1"/>
  <c r="I32" i="3" s="1"/>
  <c r="I23" i="3"/>
  <c r="I27" i="3"/>
  <c r="H17" i="3"/>
  <c r="H20" i="3"/>
  <c r="H21" i="3"/>
  <c r="H22" i="3"/>
  <c r="H28" i="3" s="1"/>
  <c r="F12" i="5" s="1"/>
  <c r="H23" i="3"/>
  <c r="H27" i="3"/>
  <c r="G17" i="3"/>
  <c r="G22" i="3"/>
  <c r="G23" i="3"/>
  <c r="G28" i="3" s="1"/>
  <c r="G27" i="3"/>
  <c r="F17" i="3"/>
  <c r="F20" i="3"/>
  <c r="F22" i="3"/>
  <c r="F28" i="3" s="1"/>
  <c r="E12" i="5" s="1"/>
  <c r="F23" i="3"/>
  <c r="F27" i="3"/>
  <c r="E17" i="3"/>
  <c r="E22" i="3"/>
  <c r="E28" i="3" s="1"/>
  <c r="E32" i="3" s="1"/>
  <c r="E23" i="3"/>
  <c r="E27" i="3"/>
  <c r="D17" i="3"/>
  <c r="D32" i="3" s="1"/>
  <c r="D20" i="3"/>
  <c r="D21" i="3"/>
  <c r="D22" i="3"/>
  <c r="D28" i="3" s="1"/>
  <c r="D12" i="5" s="1"/>
  <c r="D23" i="3"/>
  <c r="D27" i="3"/>
  <c r="C17" i="3"/>
  <c r="C22" i="3"/>
  <c r="C23" i="3"/>
  <c r="C27" i="3"/>
  <c r="C28" i="3"/>
  <c r="C32" i="3"/>
  <c r="B17" i="3"/>
  <c r="B20" i="3"/>
  <c r="B21" i="3"/>
  <c r="B28" i="3" s="1"/>
  <c r="B22" i="3"/>
  <c r="B23" i="3"/>
  <c r="B27" i="3"/>
  <c r="M5" i="3"/>
  <c r="M13" i="3" s="1"/>
  <c r="M6" i="3"/>
  <c r="M9" i="3"/>
  <c r="L3" i="3"/>
  <c r="L4" i="3"/>
  <c r="L5" i="3"/>
  <c r="L13" i="3" s="1"/>
  <c r="L6" i="3"/>
  <c r="L9" i="3"/>
  <c r="K5" i="3"/>
  <c r="K6" i="3"/>
  <c r="K9" i="3"/>
  <c r="K13" i="3"/>
  <c r="K31" i="3" s="1"/>
  <c r="J3" i="3"/>
  <c r="J4" i="3"/>
  <c r="J13" i="3" s="1"/>
  <c r="J5" i="3"/>
  <c r="J6" i="3"/>
  <c r="J9" i="3"/>
  <c r="I5" i="3"/>
  <c r="I6" i="3"/>
  <c r="I13" i="3" s="1"/>
  <c r="I31" i="3" s="1"/>
  <c r="I9" i="3"/>
  <c r="H3" i="3"/>
  <c r="H4" i="3"/>
  <c r="H5" i="3"/>
  <c r="H13" i="3" s="1"/>
  <c r="H6" i="3"/>
  <c r="H9" i="3"/>
  <c r="G5" i="3"/>
  <c r="G6" i="3"/>
  <c r="G9" i="3"/>
  <c r="G13" i="3"/>
  <c r="G31" i="3" s="1"/>
  <c r="F3" i="3"/>
  <c r="F4" i="3"/>
  <c r="F13" i="3" s="1"/>
  <c r="F5" i="3"/>
  <c r="F6" i="3"/>
  <c r="F9" i="3"/>
  <c r="E5" i="3"/>
  <c r="E6" i="3"/>
  <c r="E13" i="3" s="1"/>
  <c r="E31" i="3" s="1"/>
  <c r="E9" i="3"/>
  <c r="D3" i="3"/>
  <c r="D4" i="3"/>
  <c r="D5" i="3"/>
  <c r="D13" i="3" s="1"/>
  <c r="D6" i="3"/>
  <c r="D9" i="3"/>
  <c r="C5" i="3"/>
  <c r="C6" i="3"/>
  <c r="C9" i="3"/>
  <c r="C13" i="3"/>
  <c r="C31" i="3" s="1"/>
  <c r="B3" i="3"/>
  <c r="B4" i="3"/>
  <c r="B13" i="3" s="1"/>
  <c r="B5" i="3"/>
  <c r="B6" i="3"/>
  <c r="B9" i="3"/>
  <c r="C12" i="5" l="1"/>
  <c r="B32" i="3"/>
  <c r="D11" i="5"/>
  <c r="D36" i="5" s="1"/>
  <c r="D31" i="3"/>
  <c r="D13" i="5" s="1"/>
  <c r="H11" i="5"/>
  <c r="H36" i="5" s="1"/>
  <c r="L31" i="3"/>
  <c r="H13" i="5" s="1"/>
  <c r="H32" i="3"/>
  <c r="G39" i="2"/>
  <c r="G25" i="2"/>
  <c r="G32" i="3"/>
  <c r="B31" i="3"/>
  <c r="C13" i="5" s="1"/>
  <c r="C11" i="5"/>
  <c r="C36" i="5" s="1"/>
  <c r="J31" i="3"/>
  <c r="G13" i="5" s="1"/>
  <c r="G11" i="5"/>
  <c r="G36" i="5" s="1"/>
  <c r="M31" i="3"/>
  <c r="H12" i="5"/>
  <c r="L32" i="3"/>
  <c r="E11" i="5"/>
  <c r="E36" i="5" s="1"/>
  <c r="F31" i="3"/>
  <c r="E13" i="5" s="1"/>
  <c r="F11" i="5"/>
  <c r="F36" i="5" s="1"/>
  <c r="H31" i="3"/>
  <c r="F13" i="5" s="1"/>
  <c r="F32" i="3"/>
  <c r="H25" i="2"/>
  <c r="H40" i="2" s="1"/>
  <c r="H39" i="2"/>
  <c r="F31" i="5" s="1"/>
  <c r="F39" i="2"/>
  <c r="E31" i="5" s="1"/>
  <c r="D21" i="2"/>
  <c r="D22" i="2" s="1"/>
  <c r="D30" i="5"/>
  <c r="B38" i="5"/>
  <c r="B37" i="5"/>
  <c r="K40" i="2"/>
  <c r="K26" i="2"/>
  <c r="G40" i="2"/>
  <c r="G26" i="2"/>
  <c r="L40" i="2"/>
  <c r="L26" i="2"/>
  <c r="J40" i="2"/>
  <c r="J26" i="2"/>
  <c r="F40" i="2"/>
  <c r="F26" i="2"/>
  <c r="B40" i="2"/>
  <c r="B26" i="2"/>
  <c r="M40" i="2"/>
  <c r="M26" i="2"/>
  <c r="I40" i="2"/>
  <c r="I26" i="2"/>
  <c r="E40" i="2"/>
  <c r="E26" i="2"/>
  <c r="C40" i="2"/>
  <c r="C26" i="2"/>
  <c r="B36" i="5" l="1"/>
  <c r="H26" i="2"/>
  <c r="D29" i="5"/>
  <c r="D39" i="5" s="1"/>
  <c r="B39" i="5" s="1"/>
  <c r="D39" i="2"/>
  <c r="D31" i="5" s="1"/>
  <c r="D25" i="2"/>
  <c r="D40" i="2" l="1"/>
  <c r="D26" i="2"/>
</calcChain>
</file>

<file path=xl/sharedStrings.xml><?xml version="1.0" encoding="utf-8"?>
<sst xmlns="http://schemas.openxmlformats.org/spreadsheetml/2006/main" count="261" uniqueCount="177">
  <si>
    <t>DOMINION VOTING SYSTEMS - DEMOCRACY SUITE 4.19</t>
  </si>
  <si>
    <t>Tier 1.1-Full</t>
  </si>
  <si>
    <t>Tier 1.1-Minimal</t>
  </si>
  <si>
    <t>Tier 1.2-Full</t>
  </si>
  <si>
    <t>Tier 1.2-Minimal</t>
  </si>
  <si>
    <t>Tier 1.3-Full</t>
  </si>
  <si>
    <t>Tier 1.3-Minimal</t>
  </si>
  <si>
    <t>Tier 1.4-Full</t>
  </si>
  <si>
    <t>Tier 1.4-Minimal</t>
  </si>
  <si>
    <t>Tier 2-Full</t>
  </si>
  <si>
    <t>Tier 2-Minimal</t>
  </si>
  <si>
    <t>Tier 3-Full</t>
  </si>
  <si>
    <t>Tier 3- Minimal</t>
  </si>
  <si>
    <t>PURCHASE - ACQUISITION &amp; IMPLEMENTATION</t>
  </si>
  <si>
    <t>Election Management Software - Democracy Suite EMS (Price depends on tier)</t>
  </si>
  <si>
    <t>Election Management Software- Results Tall Reporting Module only (Price depends on tier)</t>
  </si>
  <si>
    <t>Election Management Hardware - Democracy Suite EMS Server - Dell PowerEdge R630 Server ($17,940)</t>
  </si>
  <si>
    <t>Election Management Hardware - Democracy Suite EMS Express Server - Dell Precision T1700 Workstation ($4,637 each)</t>
  </si>
  <si>
    <t>Central Count Software - ImageCast Central (ICC) [Included in price of Central Count Hardware, below]</t>
  </si>
  <si>
    <t>Adjudication Software - ImageCast Central Adjudication Module (Price depends on county tier)</t>
  </si>
  <si>
    <t>Adjudication Hardware - ImageCast Central Adjudication Workstation - Dell Precision T1700 Workstation ($3,560 each)</t>
  </si>
  <si>
    <t>Accessible Ballot Marking Device Hardware - ImageCast X Terminal ($2,575 each) (1 per VSPC x Avg. # of VSPCs per Tier)</t>
  </si>
  <si>
    <t>Project Management, Implementation and Training</t>
  </si>
  <si>
    <t>Subtotal - Purchase - Acquisition &amp; Implementation</t>
  </si>
  <si>
    <t>LEASE - ACQUISITION &amp; IMPLEMENTATION (5-YEAR TERM)</t>
  </si>
  <si>
    <t>Lease - 5-year Term - Annual Lease Payment  (TBD)</t>
  </si>
  <si>
    <t>Lease - 5-year Term - Total Annual Lease Payments (TBD)</t>
  </si>
  <si>
    <t>ANNUAL SOFTWARE &amp; HARDWARE LICENSES</t>
  </si>
  <si>
    <t>Election Management System Software - Democracy Suite EMS (Full Version or RTR only)</t>
  </si>
  <si>
    <t>Election Management System Hardware - Democracy Suite EMS Server/EMS Express Server</t>
  </si>
  <si>
    <t>Central Count Software - ImageCast Central ($2,575/ICC scanner/workstation) (includes extended warranty on scanner)</t>
  </si>
  <si>
    <t>Central Count Hardware - ImageCast Central Workstation</t>
  </si>
  <si>
    <t>Adjudication Module Software - ImageCast Central Adjudication (Price varies by county tier)</t>
  </si>
  <si>
    <t>Adjudication Module Hardware - ImageCast Central Adjudication Workstation</t>
  </si>
  <si>
    <t>Accessible Ballot Marking Device Software - ImageCast X ($125/terminal)</t>
  </si>
  <si>
    <t>Accessible Ballot Marking Device Hardware - ImageCast X Terminals</t>
  </si>
  <si>
    <t>Subtotal - Annual Licenses</t>
  </si>
  <si>
    <t>TOTAL COST OF OWNERSHIP - 10 YEAR TERM</t>
  </si>
  <si>
    <t>Total Cost of Ownership - Purchase</t>
  </si>
  <si>
    <t>Total Cost of Ownership - Lease</t>
  </si>
  <si>
    <t>OPTIONS AND NOTES</t>
  </si>
  <si>
    <t xml:space="preserve">Polling location tabulation device - not offered as part of temporarily approved system. </t>
  </si>
  <si>
    <t>Purchase price Includes Dell Support for all servers &amp; workstations for 1 year</t>
  </si>
  <si>
    <t>BOD Hardware:  Mobile Ballot Printing (MBP) Epress Printer - OKI C331 ($3,650 each) (23 ppm speed; 14" max. duplex size; 45,000 pages/month duty cycle)</t>
  </si>
  <si>
    <t>BOD Hardware:  Mobile Ballot Printing (MBP) Deluxe Printer - OKI C931 ($11,150 each) (50 ppm speed; 19" max. duplex size; 300,000 pages/month duty cycle)</t>
  </si>
  <si>
    <t>BOD Software:  Mobile Ballot Printing (MBP) Module (price depends on tier)</t>
  </si>
  <si>
    <t>BOD Software:  Mobile Ballot Printing (MBP) Module - Annual License (price depends on tier)</t>
  </si>
  <si>
    <t>ACQUISITION &amp; IMPLEMENTATION</t>
  </si>
  <si>
    <t>Election Management Hardware - Verity Data Workstation ($3,220 each)</t>
  </si>
  <si>
    <t>Central Count Hardware - Verity Central Server Workstation ($3,220 each)</t>
  </si>
  <si>
    <t>Central Count Hardware - Verity Central Client Workstation ($3,220 each)</t>
  </si>
  <si>
    <t xml:space="preserve">Central Count Hardware - Canon DRG-1130 high speed scanner ($7,440 each) (130 ballots per minute) </t>
  </si>
  <si>
    <t>Central Count Hardware - Canon DRG-1100 high speed scanner ($5,025 each) (110 ballots per minute)</t>
  </si>
  <si>
    <t>Accessible Ballot Marking Device Hardware - Verity Touch Writer with Access ($4,725 each)</t>
  </si>
  <si>
    <t>Miscellaneous Hardware:  vDrive Portable Flash Memory ($20 each)</t>
  </si>
  <si>
    <t>Miscellaneous Hardware:  Verity Key Security Token ($50 each)</t>
  </si>
  <si>
    <t>Miscellaneous Hardware:  6 Bay Battery Charger ($420 each)</t>
  </si>
  <si>
    <t>Miscellaneous Hardware:  Reports Printer (Okidata B431D) ($270 each)</t>
  </si>
  <si>
    <t>Project Management, Implementation and Training (Price varies by county tier)</t>
  </si>
  <si>
    <t>Annual licenses for Year 1 (not included in purchase price)</t>
  </si>
  <si>
    <t>Lease - 5-Year Term - Annual Lease Payment* (Does not include annual licenses for years 2-5)</t>
  </si>
  <si>
    <t>Lease - 5-Year Term - Total Annual Lease Payments (Does not include annual licenses for years 2-5)</t>
  </si>
  <si>
    <t>Election Management System Software - Verity Build ($8,000 per year for each license)</t>
  </si>
  <si>
    <t>Election Management System Software - Verity Data ($2,400 per year for each license)</t>
  </si>
  <si>
    <t>Central Count and Resolution Software - Verity Central (Server) ($10,000 per year for each license)</t>
  </si>
  <si>
    <t>Central Count and Resolution Software - Verity Central (Client) ($2,500 per year for each license)</t>
  </si>
  <si>
    <t>Tabulation and Reporting - Verity Count ($2,400 per year for each license)</t>
  </si>
  <si>
    <t>Central Count Hardware - Verity Scan (if used as central count tabulator) ($171 per year for each unit)</t>
  </si>
  <si>
    <t>Accessible Ballot Marking Device Hardware - Verity Touch Writer with Access ($149 per year for each unit)</t>
  </si>
  <si>
    <t>TOTAL COST OF OWNERSHIP OVER 10 YEARS</t>
  </si>
  <si>
    <t>Total Cost of Ownership - Lease - 5-Year Term</t>
  </si>
  <si>
    <t>* All lease rates subject to further credit review.</t>
  </si>
  <si>
    <t>OPTIONS AND NOTES:</t>
  </si>
  <si>
    <t>Polling location tabulation device - Verity Scan $6100 purchase price plus $171 annual license</t>
  </si>
  <si>
    <t>Acquisition price and annual licenses do not include preventative maintenance on COTS or purpose-built ballot scanners.  However, $1200 of project management, implementation and training costs is devoted to training county users to perform regular preventative maintenance themselves.</t>
  </si>
  <si>
    <t>Purchase price includes HP support for all servers &amp; workstations for 2 years</t>
  </si>
  <si>
    <t>Ballot-on-Demand system:  Verity Print, including 1 Okidata B431D printer ($5,875/each plus $165 annual license) (Available Q1 2016 pending certification)</t>
  </si>
  <si>
    <t>County Tiers</t>
  </si>
  <si>
    <t>Tier 1.1</t>
  </si>
  <si>
    <t>Tier 1.2</t>
  </si>
  <si>
    <t>Tier 1.3</t>
  </si>
  <si>
    <t>Tier 1.4</t>
  </si>
  <si>
    <t>Tier 2</t>
  </si>
  <si>
    <t>Tier 3</t>
  </si>
  <si>
    <t>Number of counties within tier</t>
  </si>
  <si>
    <t>Average number of active electors</t>
  </si>
  <si>
    <t>Average minimum number of Election Day VSPCs required for General Elections</t>
  </si>
  <si>
    <t>Projected total mail ballots cast - 2016 Presidential Election</t>
  </si>
  <si>
    <t>Projected highest daily volume of mail ballots - 2016 Presidential Election</t>
  </si>
  <si>
    <t>Projected total in-person ballots cast - 2016 Presidential Election</t>
  </si>
  <si>
    <t>Projected highest daily volume of in-person ballots per Election Day VSPC-2016 Presidential Election</t>
  </si>
  <si>
    <t>Clear Ballot Group - ClearVote 1.0
Piloted in Adams &amp; Gilpin Counties</t>
  </si>
  <si>
    <t>Acquisition, Implementation, Training</t>
  </si>
  <si>
    <t>Annual Licenses</t>
  </si>
  <si>
    <t>Total Cost for 10 Years</t>
  </si>
  <si>
    <t>Dominion Voting Systems - Democracy Suite 4.19
Piloted in City &amp; County of Denver and Mesa County</t>
  </si>
  <si>
    <t>Election Systems &amp; Software - EVS 5.2.0.3
Piloted in Jefferson and Teller Counties</t>
  </si>
  <si>
    <t>Hart InterCivic - Verity Voting 1.0 with Verity Data 1.3.3
Piloted in Douglas and Garfield Counties</t>
  </si>
  <si>
    <t>CLEAR BALLOT GROUP - CLEARVOTE 1.0</t>
  </si>
  <si>
    <t>Election Management Software - ClearDesign</t>
  </si>
  <si>
    <t>Election Management Hardware - ClearDesign System</t>
  </si>
  <si>
    <t>Central Count, Tabulation &amp; Reporting Software - ClearCount</t>
  </si>
  <si>
    <t>Central Count, Tabulation &amp; Reporting Hardware - ClearCount System</t>
  </si>
  <si>
    <t>Adjudication Software - included in ClearCount</t>
  </si>
  <si>
    <t>Adjudication Hardware - included in ClearCount</t>
  </si>
  <si>
    <t>Accessible Ballot Marking Device Hardware - ClearAccess - (1 per VSPC x Avg. # of VSPCs per Tier)</t>
  </si>
  <si>
    <t>Accessible Ballot Marking Device Software - included in ClearAccess Hardware</t>
  </si>
  <si>
    <t>Accessible Ballot Marking Device Server - Not Applicable</t>
  </si>
  <si>
    <t>Lease - 5-year Term - Annual Lease Payment</t>
  </si>
  <si>
    <t>Lease - 5-year Term - Total Lease Payments</t>
  </si>
  <si>
    <t>Election Management System Software - ClearDesign</t>
  </si>
  <si>
    <t>Election Management System Hardware - ClearDesign System</t>
  </si>
  <si>
    <t>Adjudication Module Software - included in ClearCount</t>
  </si>
  <si>
    <t>Adjudication Module Hardware - included in ClearCount System</t>
  </si>
  <si>
    <t>Accessible Ballot Marking Device Software - ClearAccess - included in ClearAccess Hardware</t>
  </si>
  <si>
    <t>Accessible Ballot Marking Device Hardware - ClearAccess</t>
  </si>
  <si>
    <t>Polling location tabulation device - not part of temporarily approved system.  Per Clear Ballot's cost proposal, polling location scanners will cost $6,000 per unit, plus $400 annual license after the first year, when and if certified by Colorado Secretary of State</t>
  </si>
  <si>
    <t>Acquisition price and annual licenses include Fujitsu ScanCare for year of purchase plus 4 additional years for all ballot scanners</t>
  </si>
  <si>
    <t>ELECTION SYSTEMS AND SOFTWARE - EVS 5.2.0.3</t>
  </si>
  <si>
    <t>Election Management Software - ElectionWare PYO (Election definition; ballot layout; results reporting) ($21,365 each)</t>
  </si>
  <si>
    <t>Tabulation and Results Software - Election Reporting Manager ($4200 each)</t>
  </si>
  <si>
    <t>Election Management Hardware - EMS Server (Dell PowerEdge t430) ($6440 each)</t>
  </si>
  <si>
    <t>Election Management Hardware - 8-Port Network Switch ($60 each)</t>
  </si>
  <si>
    <t>Election Management Hardware - EMS Workstation (Dell OptiPlex 7020) ($1440 each)</t>
  </si>
  <si>
    <t>Central Count Hardware - DS850 (300 ballots/minute) ($95,000 each)</t>
  </si>
  <si>
    <t>Central Count Hardware - DS450 (75 ballots/minute) ($41,300 each) [Note:  Currently being developed.  ES&amp;S will provide DS850 at DS450 price until DS450 is certified)</t>
  </si>
  <si>
    <t>Central Count Hardware - DS200  (Polling location tabulator, used as central count solution in Tiers ) ($5,522 each)</t>
  </si>
  <si>
    <t>Accessible Device Software - Express Pass Software ($3,050 each)</t>
  </si>
  <si>
    <t>Accessible Device Hardware - ExpressPass Printer</t>
  </si>
  <si>
    <t>Project Management, Implementation and Training (Does not include onsite voting equipment installation)</t>
  </si>
  <si>
    <t>Onsite Voting Equipment Installation</t>
  </si>
  <si>
    <t>Election Management System Software - ElectionWare ($21,365)</t>
  </si>
  <si>
    <t>Election Management System Software - Election Reporting Manager ($4,200)</t>
  </si>
  <si>
    <t>Central Count Hardware - DS850 Hardware Maintenance ($2,525)</t>
  </si>
  <si>
    <t>Central Count Hardware - DS850 Firmware ($1,575)</t>
  </si>
  <si>
    <t>Central Count Hardware - DS450 Hardware Maintenance ($1,750)</t>
  </si>
  <si>
    <t>Central Count Hardware - DS450 Firmware ($1,575)</t>
  </si>
  <si>
    <t>Central Count Hardware - DS200 Hardware Maintenance ($125)</t>
  </si>
  <si>
    <t>Central Count Hardware - DS200 Firmware  ($80)</t>
  </si>
  <si>
    <t>Accessible Device Software - ExpressPass License ($3,050)</t>
  </si>
  <si>
    <t>Accessible Device Hardware - ExpressVote Hardware Maintenance ($97.50)</t>
  </si>
  <si>
    <t>Accessible Device Hardware - ExpressVote Firmware ($65)</t>
  </si>
  <si>
    <t>Accessible Device Hardware - ExpressPass Printer (N/A)</t>
  </si>
  <si>
    <t>OPTIONAL, RECOMMENDED AND REQUIRED ITEMS COUNTIES CAN PURCHASE THEMSELVES:</t>
  </si>
  <si>
    <t>Polling location tabulation device - DS200 ($5,552 each) (Optional for polling locations)</t>
  </si>
  <si>
    <t>Uninteruptable Power Supply (UPS) w/Battery Backup for Server - 1500va ($700) (Highly recommended)</t>
  </si>
  <si>
    <t>Uninteruptable Power Supply (UPS) w/Battery Backup for Workstation - 750va ($140) (Highly recommended)</t>
  </si>
  <si>
    <t>Symantec Endpoint Protection 12.1.4 Anti-Virus Software ($47) (Required)</t>
  </si>
  <si>
    <t>Adobe Acrobat Standard XI ($401) (Required)</t>
  </si>
  <si>
    <t>Cost for Average County in Each Tier to Purchase Full Configuration of Proposed Voting System</t>
  </si>
  <si>
    <t>Total</t>
  </si>
  <si>
    <t>Clear Ballot Group - ClearVote 1.0</t>
  </si>
  <si>
    <t>Dominion Voting Systems - Democracy Suite 4.19</t>
  </si>
  <si>
    <t>Election Systems &amp; Software - EVS 5.2.0.3</t>
  </si>
  <si>
    <t>Hart InterCivic - Verity Voting 1.0 with Verity Data 1.3.3</t>
  </si>
  <si>
    <t>Acquisition Cost if Single Voting System Implemented Statewide</t>
  </si>
  <si>
    <r>
      <t xml:space="preserve">Election Management Software - Verity Data (Ballot Layout) </t>
    </r>
    <r>
      <rPr>
        <b/>
        <strike/>
        <sz val="11"/>
        <color rgb="FFFF0000"/>
        <rFont val="Calibri"/>
        <family val="2"/>
        <scheme val="minor"/>
      </rPr>
      <t>($8,915 each)</t>
    </r>
    <r>
      <rPr>
        <b/>
        <sz val="11"/>
        <color rgb="FFFF0000"/>
        <rFont val="Calibri"/>
        <family val="2"/>
        <scheme val="minor"/>
      </rPr>
      <t xml:space="preserve">     ($6,300 each)</t>
    </r>
  </si>
  <si>
    <r>
      <t>Election Management Software - Verity Build (Election Definition and Deployment)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trike/>
        <sz val="11"/>
        <color rgb="FFFF0000"/>
        <rFont val="Calibri"/>
        <family val="2"/>
        <scheme val="minor"/>
      </rPr>
      <t xml:space="preserve">($29,700 each) </t>
    </r>
    <r>
      <rPr>
        <b/>
        <sz val="11"/>
        <color rgb="FFFF0000"/>
        <rFont val="Calibri"/>
        <family val="2"/>
        <scheme val="minor"/>
      </rPr>
      <t xml:space="preserve">    ($18,000 each)</t>
    </r>
  </si>
  <si>
    <t>Tabulation and Reporting Hardware - Verity Count Workstation ($3,220 each) (this workstation can also support Verity Build, if applicable)</t>
  </si>
  <si>
    <r>
      <t xml:space="preserve">Central Count &amp; Resolution Software - Verity Central (Server license) </t>
    </r>
    <r>
      <rPr>
        <b/>
        <strike/>
        <sz val="11"/>
        <color rgb="FFFF0000"/>
        <rFont val="Calibri"/>
        <family val="2"/>
        <scheme val="minor"/>
      </rPr>
      <t>($74,250 each)</t>
    </r>
    <r>
      <rPr>
        <b/>
        <sz val="11"/>
        <color rgb="FFFF0000"/>
        <rFont val="Calibri"/>
        <family val="2"/>
        <scheme val="minor"/>
      </rPr>
      <t xml:space="preserve">   </t>
    </r>
    <r>
      <rPr>
        <b/>
        <strike/>
        <sz val="11"/>
        <color rgb="FFFF0000"/>
        <rFont val="Calibri"/>
        <family val="2"/>
        <scheme val="minor"/>
      </rPr>
      <t>($37,125 each)</t>
    </r>
    <r>
      <rPr>
        <b/>
        <sz val="11"/>
        <color rgb="FFFF0000"/>
        <rFont val="Calibri"/>
        <family val="2"/>
        <scheme val="minor"/>
      </rPr>
      <t xml:space="preserve">    ($21,000 each)</t>
    </r>
  </si>
  <si>
    <r>
      <t xml:space="preserve">Central Count &amp; Resolution Software - Verity Central (Client license) </t>
    </r>
    <r>
      <rPr>
        <b/>
        <strike/>
        <sz val="11"/>
        <color rgb="FFFF0000"/>
        <rFont val="Calibri"/>
        <family val="2"/>
        <scheme val="minor"/>
      </rPr>
      <t>($55,710 each)</t>
    </r>
    <r>
      <rPr>
        <b/>
        <sz val="11"/>
        <color rgb="FFFF0000"/>
        <rFont val="Calibri"/>
        <family val="2"/>
        <scheme val="minor"/>
      </rPr>
      <t xml:space="preserve">    </t>
    </r>
    <r>
      <rPr>
        <b/>
        <strike/>
        <sz val="11"/>
        <color rgb="FFFF0000"/>
        <rFont val="Calibri"/>
        <family val="2"/>
        <scheme val="minor"/>
      </rPr>
      <t>($9,285 each)</t>
    </r>
    <r>
      <rPr>
        <b/>
        <sz val="11"/>
        <color rgb="FFFF0000"/>
        <rFont val="Calibri"/>
        <family val="2"/>
        <scheme val="minor"/>
      </rPr>
      <t xml:space="preserve">    ($7,250 each)</t>
    </r>
  </si>
  <si>
    <t>Central Count Hardware - Verity Scan (polling location tabulator used as central count solution in Tier 3 counties) ($6,100 each) (~10 ballots per minute)</t>
  </si>
  <si>
    <r>
      <t xml:space="preserve">Tabulation and Reporting Software - Verity Count </t>
    </r>
    <r>
      <rPr>
        <b/>
        <strike/>
        <sz val="11"/>
        <color rgb="FFFF0000"/>
        <rFont val="Calibri"/>
        <family val="2"/>
        <scheme val="minor"/>
      </rPr>
      <t xml:space="preserve">($8,915 each) </t>
    </r>
    <r>
      <rPr>
        <b/>
        <sz val="11"/>
        <color rgb="FFFF0000"/>
        <rFont val="Calibri"/>
        <family val="2"/>
        <scheme val="minor"/>
      </rPr>
      <t xml:space="preserve">    ($6,300 each)</t>
    </r>
  </si>
  <si>
    <t>Subtotal - Acquisition &amp; Implementation</t>
  </si>
  <si>
    <t>Cannon 160 Printer Option (Minimal Tier Option) - $6,500</t>
  </si>
  <si>
    <r>
      <t xml:space="preserve">Accessible Ballot Marking Device Server - ImageCast X Server ($3,316 each) </t>
    </r>
    <r>
      <rPr>
        <sz val="11"/>
        <color rgb="FFFF0000"/>
        <rFont val="Calibri"/>
        <family val="2"/>
        <scheme val="minor"/>
      </rPr>
      <t>(Previous version did not multiple unit cost by min. # of VSPCs per tier)</t>
    </r>
  </si>
  <si>
    <r>
      <t xml:space="preserve">Less 10-Year Carrying Cost of Legacy Systems </t>
    </r>
    <r>
      <rPr>
        <sz val="11"/>
        <color rgb="FFFF0000"/>
        <rFont val="Calibri"/>
        <family val="2"/>
        <scheme val="minor"/>
      </rPr>
      <t>(TBD)</t>
    </r>
  </si>
  <si>
    <r>
      <t>Accessible Device Hardware - ExpressVote BMD (</t>
    </r>
    <r>
      <rPr>
        <b/>
        <sz val="11"/>
        <color rgb="FFFF0000"/>
        <rFont val="Calibri"/>
        <family val="2"/>
        <scheme val="minor"/>
      </rPr>
      <t>$2,920 each</t>
    </r>
    <r>
      <rPr>
        <sz val="11"/>
        <color theme="1"/>
        <rFont val="Calibri"/>
        <family val="2"/>
        <scheme val="minor"/>
      </rPr>
      <t>) (1 per required minimum number of VSPCs)</t>
    </r>
  </si>
  <si>
    <r>
      <t xml:space="preserve">Incremental Cost of Dominion Over 10 Years </t>
    </r>
    <r>
      <rPr>
        <sz val="11"/>
        <color rgb="FFFF0000"/>
        <rFont val="Calibri"/>
        <family val="2"/>
        <scheme val="minor"/>
      </rPr>
      <t>(TBD)</t>
    </r>
  </si>
  <si>
    <r>
      <t xml:space="preserve">Incremental Cost of </t>
    </r>
    <r>
      <rPr>
        <sz val="11"/>
        <color rgb="FFFF0000"/>
        <rFont val="Calibri"/>
        <family val="2"/>
        <scheme val="minor"/>
      </rPr>
      <t>ES&amp;S</t>
    </r>
    <r>
      <rPr>
        <sz val="11"/>
        <color theme="1"/>
        <rFont val="Calibri"/>
        <family val="2"/>
        <scheme val="minor"/>
      </rPr>
      <t xml:space="preserve"> Over 10 Years </t>
    </r>
    <r>
      <rPr>
        <sz val="11"/>
        <color rgb="FFFF0000"/>
        <rFont val="Calibri"/>
        <family val="2"/>
        <scheme val="minor"/>
      </rPr>
      <t>(TBD)</t>
    </r>
  </si>
  <si>
    <r>
      <t xml:space="preserve">Incremental Cost of </t>
    </r>
    <r>
      <rPr>
        <sz val="11"/>
        <color rgb="FFFF0000"/>
        <rFont val="Calibri"/>
        <family val="2"/>
        <scheme val="minor"/>
      </rPr>
      <t>Hart</t>
    </r>
    <r>
      <rPr>
        <sz val="11"/>
        <color theme="1"/>
        <rFont val="Calibri"/>
        <family val="2"/>
        <scheme val="minor"/>
      </rPr>
      <t xml:space="preserve"> Over 10 Years </t>
    </r>
    <r>
      <rPr>
        <sz val="11"/>
        <color rgb="FFFF0000"/>
        <rFont val="Calibri"/>
        <family val="2"/>
        <scheme val="minor"/>
      </rPr>
      <t>(TBD)</t>
    </r>
  </si>
  <si>
    <r>
      <t xml:space="preserve">Incremental Cost of Clear Ballot Over 10 Years </t>
    </r>
    <r>
      <rPr>
        <sz val="11"/>
        <color rgb="FFFF0000"/>
        <rFont val="Calibri"/>
        <family val="2"/>
        <scheme val="minor"/>
      </rPr>
      <t>(TBD)</t>
    </r>
  </si>
  <si>
    <t>HART INTERCIVIC - VERITY VOTING 1.0 WITH VERITY DATA 1.3.3</t>
  </si>
  <si>
    <r>
      <t>Central Count Hardware - ImageCast Central (ICC) Workstation (Dell 9020/9020 AIO) and Scanners (Canon DR-G1130) (</t>
    </r>
    <r>
      <rPr>
        <strike/>
        <sz val="11"/>
        <color theme="1"/>
        <rFont val="Calibri"/>
        <family val="2"/>
        <scheme val="minor"/>
      </rPr>
      <t>$25,000</t>
    </r>
    <r>
      <rPr>
        <sz val="11"/>
        <color rgb="FFFF0000"/>
        <rFont val="Calibri"/>
        <family val="2"/>
        <scheme val="minor"/>
      </rPr>
      <t xml:space="preserve">$18,500 </t>
    </r>
    <r>
      <rPr>
        <sz val="11"/>
        <color theme="1"/>
        <rFont val="Calibri"/>
        <family val="2"/>
        <scheme val="minor"/>
      </rPr>
      <t>each) (130 ballots/minute)</t>
    </r>
  </si>
  <si>
    <r>
      <t xml:space="preserve">Total Cost of Ownership - Lease </t>
    </r>
    <r>
      <rPr>
        <b/>
        <strike/>
        <sz val="11"/>
        <color rgb="FFFF0000"/>
        <rFont val="Calibri"/>
        <family val="2"/>
        <scheme val="minor"/>
      </rPr>
      <t>(TBD)</t>
    </r>
  </si>
  <si>
    <r>
      <t xml:space="preserve">Lease - 5-year Term - Annual Lease Payment  </t>
    </r>
    <r>
      <rPr>
        <strike/>
        <sz val="11"/>
        <color rgb="FFFF0000"/>
        <rFont val="Calibri"/>
        <family val="2"/>
        <scheme val="minor"/>
      </rPr>
      <t>(TBD)</t>
    </r>
  </si>
  <si>
    <r>
      <t xml:space="preserve">Lease - 5-year Term - Total Annual Lease Payments </t>
    </r>
    <r>
      <rPr>
        <strike/>
        <sz val="11"/>
        <color rgb="FFFF0000"/>
        <rFont val="Calibri"/>
        <family val="2"/>
        <scheme val="minor"/>
      </rPr>
      <t>(TBD)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</si>
</sst>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 applyAlignment="1"/>
    <xf numFmtId="164" fontId="0" fillId="0" borderId="0" xfId="0" applyNumberFormat="1"/>
    <xf numFmtId="164" fontId="1" fillId="0" borderId="0" xfId="0" applyNumberFormat="1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/>
    <xf numFmtId="3" fontId="1" fillId="0" borderId="0" xfId="0" applyNumberFormat="1" applyFont="1"/>
    <xf numFmtId="164" fontId="3" fillId="0" borderId="0" xfId="0" applyNumberFormat="1" applyFont="1"/>
    <xf numFmtId="0" fontId="1" fillId="2" borderId="3" xfId="0" applyFont="1" applyFill="1" applyBorder="1" applyAlignment="1">
      <alignment horizontal="right"/>
    </xf>
    <xf numFmtId="0" fontId="0" fillId="0" borderId="4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 applyAlignment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 applyAlignment="1"/>
    <xf numFmtId="0" fontId="0" fillId="0" borderId="11" xfId="0" applyBorder="1"/>
    <xf numFmtId="0" fontId="0" fillId="0" borderId="12" xfId="0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9" xfId="0" applyBorder="1"/>
    <xf numFmtId="0" fontId="1" fillId="2" borderId="8" xfId="0" applyFont="1" applyFill="1" applyBorder="1" applyAlignment="1">
      <alignment horizontal="right"/>
    </xf>
    <xf numFmtId="164" fontId="0" fillId="0" borderId="8" xfId="0" applyNumberFormat="1" applyBorder="1"/>
    <xf numFmtId="0" fontId="0" fillId="0" borderId="0" xfId="0" applyAlignment="1">
      <alignment wrapText="1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right"/>
    </xf>
    <xf numFmtId="0" fontId="0" fillId="3" borderId="0" xfId="0" applyFill="1" applyAlignment="1"/>
    <xf numFmtId="0" fontId="0" fillId="3" borderId="0" xfId="0" applyFill="1"/>
    <xf numFmtId="0" fontId="0" fillId="3" borderId="13" xfId="0" applyFill="1" applyBorder="1" applyAlignment="1">
      <alignment vertical="top"/>
    </xf>
    <xf numFmtId="0" fontId="0" fillId="3" borderId="18" xfId="0" applyFill="1" applyBorder="1"/>
    <xf numFmtId="164" fontId="0" fillId="3" borderId="18" xfId="0" applyNumberFormat="1" applyFill="1" applyBorder="1"/>
    <xf numFmtId="164" fontId="0" fillId="3" borderId="14" xfId="0" applyNumberFormat="1" applyFill="1" applyBorder="1"/>
    <xf numFmtId="0" fontId="0" fillId="3" borderId="17" xfId="0" applyFill="1" applyBorder="1" applyAlignment="1">
      <alignment vertical="center"/>
    </xf>
    <xf numFmtId="0" fontId="4" fillId="0" borderId="0" xfId="1" applyFont="1"/>
    <xf numFmtId="0" fontId="3" fillId="0" borderId="0" xfId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Fill="1"/>
    <xf numFmtId="3" fontId="8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 applyAlignment="1">
      <alignment horizontal="center"/>
    </xf>
    <xf numFmtId="0" fontId="4" fillId="0" borderId="0" xfId="1" applyFont="1" applyFill="1" applyBorder="1"/>
    <xf numFmtId="0" fontId="3" fillId="0" borderId="0" xfId="1" applyFont="1"/>
    <xf numFmtId="3" fontId="3" fillId="0" borderId="0" xfId="1" applyNumberFormat="1" applyFont="1" applyAlignment="1">
      <alignment horizontal="center"/>
    </xf>
    <xf numFmtId="9" fontId="3" fillId="0" borderId="0" xfId="2" applyFont="1" applyAlignment="1">
      <alignment horizontal="center"/>
    </xf>
    <xf numFmtId="165" fontId="3" fillId="0" borderId="0" xfId="2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quotePrefix="1" applyFont="1"/>
    <xf numFmtId="43" fontId="3" fillId="0" borderId="0" xfId="3" applyFont="1" applyAlignment="1">
      <alignment horizontal="center"/>
    </xf>
    <xf numFmtId="0" fontId="3" fillId="0" borderId="0" xfId="1" applyFont="1" applyAlignment="1">
      <alignment wrapText="1"/>
    </xf>
    <xf numFmtId="3" fontId="6" fillId="0" borderId="8" xfId="0" applyNumberFormat="1" applyFont="1" applyBorder="1"/>
    <xf numFmtId="164" fontId="6" fillId="0" borderId="8" xfId="0" applyNumberFormat="1" applyFont="1" applyBorder="1"/>
    <xf numFmtId="0" fontId="0" fillId="0" borderId="0" xfId="0"/>
    <xf numFmtId="0" fontId="1" fillId="0" borderId="0" xfId="0" applyFont="1"/>
    <xf numFmtId="164" fontId="0" fillId="0" borderId="0" xfId="0" applyNumberFormat="1" applyAlignment="1"/>
    <xf numFmtId="164" fontId="0" fillId="0" borderId="0" xfId="0" applyNumberFormat="1"/>
    <xf numFmtId="164" fontId="1" fillId="0" borderId="0" xfId="0" applyNumberFormat="1" applyFont="1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/>
    <xf numFmtId="3" fontId="0" fillId="0" borderId="0" xfId="0" applyNumberFormat="1" applyFill="1"/>
    <xf numFmtId="3" fontId="1" fillId="0" borderId="0" xfId="0" applyNumberFormat="1" applyFont="1"/>
    <xf numFmtId="3" fontId="3" fillId="0" borderId="0" xfId="0" applyNumberFormat="1" applyFont="1"/>
    <xf numFmtId="42" fontId="1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Alignment="1"/>
    <xf numFmtId="3" fontId="6" fillId="0" borderId="0" xfId="0" applyNumberFormat="1" applyFont="1" applyFill="1"/>
    <xf numFmtId="0" fontId="6" fillId="0" borderId="0" xfId="0" applyFont="1" applyAlignment="1">
      <alignment wrapText="1"/>
    </xf>
    <xf numFmtId="164" fontId="6" fillId="0" borderId="8" xfId="0" applyNumberFormat="1" applyFont="1" applyBorder="1"/>
    <xf numFmtId="0" fontId="10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vertical="top" wrapText="1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/>
    <xf numFmtId="0" fontId="1" fillId="2" borderId="1" xfId="0" applyFont="1" applyFill="1" applyBorder="1" applyAlignment="1"/>
    <xf numFmtId="0" fontId="0" fillId="2" borderId="2" xfId="0" applyFill="1" applyBorder="1" applyAlignment="1"/>
    <xf numFmtId="0" fontId="1" fillId="2" borderId="13" xfId="0" applyFont="1" applyFill="1" applyBorder="1" applyAlignment="1"/>
    <xf numFmtId="0" fontId="0" fillId="2" borderId="14" xfId="0" applyFill="1" applyBorder="1" applyAlignment="1"/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4">
    <cellStyle name="Comma 2" xfId="3" xr:uid="{00000000-0005-0000-0000-000000000000}"/>
    <cellStyle name="Normal" xfId="0" builtinId="0"/>
    <cellStyle name="Normal 18" xfId="1" xr:uid="{00000000-0005-0000-0000-000002000000}"/>
    <cellStyle name="Percent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A4" sqref="A4"/>
    </sheetView>
  </sheetViews>
  <sheetFormatPr baseColWidth="10" defaultColWidth="8.83203125" defaultRowHeight="15" x14ac:dyDescent="0.2"/>
  <cols>
    <col min="1" max="1" width="92.1640625" bestFit="1" customWidth="1"/>
    <col min="2" max="2" width="48.1640625" customWidth="1"/>
    <col min="3" max="4" width="10.33203125" bestFit="1" customWidth="1"/>
    <col min="5" max="8" width="10.1640625" bestFit="1" customWidth="1"/>
  </cols>
  <sheetData>
    <row r="1" spans="1:8" ht="20" customHeight="1" thickBot="1" x14ac:dyDescent="0.25">
      <c r="A1" s="103" t="s">
        <v>77</v>
      </c>
      <c r="B1" s="104"/>
      <c r="C1" s="14" t="s">
        <v>78</v>
      </c>
      <c r="D1" s="14" t="s">
        <v>79</v>
      </c>
      <c r="E1" s="14" t="s">
        <v>80</v>
      </c>
      <c r="F1" s="14" t="s">
        <v>81</v>
      </c>
      <c r="G1" s="14" t="s">
        <v>82</v>
      </c>
      <c r="H1" s="14" t="s">
        <v>83</v>
      </c>
    </row>
    <row r="2" spans="1:8" ht="20" customHeight="1" x14ac:dyDescent="0.2">
      <c r="A2" s="15" t="s">
        <v>84</v>
      </c>
      <c r="B2" s="16"/>
      <c r="C2" s="16">
        <v>4</v>
      </c>
      <c r="D2" s="16">
        <v>2</v>
      </c>
      <c r="E2" s="16">
        <v>3</v>
      </c>
      <c r="F2" s="16">
        <v>6</v>
      </c>
      <c r="G2" s="16">
        <v>14</v>
      </c>
      <c r="H2" s="17">
        <v>35</v>
      </c>
    </row>
    <row r="3" spans="1:8" ht="20" customHeight="1" x14ac:dyDescent="0.2">
      <c r="A3" s="18" t="s">
        <v>85</v>
      </c>
      <c r="B3" s="19"/>
      <c r="C3" s="20">
        <v>349888</v>
      </c>
      <c r="D3" s="20">
        <v>208576</v>
      </c>
      <c r="E3" s="20">
        <v>173533</v>
      </c>
      <c r="F3" s="20">
        <v>50463</v>
      </c>
      <c r="G3" s="20">
        <v>15427</v>
      </c>
      <c r="H3" s="21">
        <v>4072</v>
      </c>
    </row>
    <row r="4" spans="1:8" ht="20" customHeight="1" thickBot="1" x14ac:dyDescent="0.25">
      <c r="A4" s="22" t="s">
        <v>86</v>
      </c>
      <c r="B4" s="23"/>
      <c r="C4" s="23">
        <v>23</v>
      </c>
      <c r="D4" s="23">
        <v>14</v>
      </c>
      <c r="E4" s="23">
        <v>11</v>
      </c>
      <c r="F4" s="23">
        <v>4</v>
      </c>
      <c r="G4" s="23">
        <v>3</v>
      </c>
      <c r="H4" s="24">
        <v>1</v>
      </c>
    </row>
    <row r="5" spans="1:8" ht="20" customHeight="1" x14ac:dyDescent="0.2">
      <c r="A5" s="15" t="s">
        <v>87</v>
      </c>
      <c r="B5" s="16"/>
      <c r="C5" s="25">
        <v>301766</v>
      </c>
      <c r="D5" s="25">
        <v>175157</v>
      </c>
      <c r="E5" s="25">
        <v>158209</v>
      </c>
      <c r="F5" s="25">
        <v>44306</v>
      </c>
      <c r="G5" s="25">
        <v>13947</v>
      </c>
      <c r="H5" s="26">
        <v>3776</v>
      </c>
    </row>
    <row r="6" spans="1:8" ht="20" customHeight="1" x14ac:dyDescent="0.2">
      <c r="A6" s="18" t="s">
        <v>88</v>
      </c>
      <c r="B6" s="19"/>
      <c r="C6" s="20">
        <v>63813</v>
      </c>
      <c r="D6" s="20">
        <v>37652</v>
      </c>
      <c r="E6" s="20">
        <v>33330</v>
      </c>
      <c r="F6" s="20">
        <v>8875</v>
      </c>
      <c r="G6" s="20">
        <v>2534</v>
      </c>
      <c r="H6" s="27">
        <v>683</v>
      </c>
    </row>
    <row r="7" spans="1:8" ht="20" customHeight="1" x14ac:dyDescent="0.2">
      <c r="A7" s="18" t="s">
        <v>89</v>
      </c>
      <c r="B7" s="19"/>
      <c r="C7" s="20">
        <v>15547</v>
      </c>
      <c r="D7" s="20">
        <v>11624</v>
      </c>
      <c r="E7" s="20">
        <v>8572</v>
      </c>
      <c r="F7" s="20">
        <v>1774</v>
      </c>
      <c r="G7" s="19">
        <v>622</v>
      </c>
      <c r="H7" s="27">
        <v>112</v>
      </c>
    </row>
    <row r="8" spans="1:8" ht="20" customHeight="1" thickBot="1" x14ac:dyDescent="0.25">
      <c r="A8" s="22" t="s">
        <v>90</v>
      </c>
      <c r="B8" s="23"/>
      <c r="C8" s="23">
        <v>501</v>
      </c>
      <c r="D8" s="23">
        <v>623</v>
      </c>
      <c r="E8" s="23">
        <v>567</v>
      </c>
      <c r="F8" s="23">
        <v>336</v>
      </c>
      <c r="G8" s="23">
        <v>149</v>
      </c>
      <c r="H8" s="24">
        <v>71</v>
      </c>
    </row>
    <row r="9" spans="1:8" ht="20" customHeight="1" x14ac:dyDescent="0.2">
      <c r="A9" s="33"/>
      <c r="B9" s="34"/>
      <c r="C9" s="34"/>
      <c r="D9" s="34"/>
      <c r="E9" s="34"/>
      <c r="F9" s="34"/>
      <c r="G9" s="34"/>
      <c r="H9" s="34"/>
    </row>
    <row r="10" spans="1:8" ht="20" customHeight="1" x14ac:dyDescent="0.2">
      <c r="A10" s="105" t="s">
        <v>149</v>
      </c>
      <c r="B10" s="106"/>
      <c r="C10" s="28" t="s">
        <v>78</v>
      </c>
      <c r="D10" s="28" t="s">
        <v>79</v>
      </c>
      <c r="E10" s="28" t="s">
        <v>80</v>
      </c>
      <c r="F10" s="28" t="s">
        <v>81</v>
      </c>
      <c r="G10" s="28" t="s">
        <v>82</v>
      </c>
      <c r="H10" s="28" t="s">
        <v>83</v>
      </c>
    </row>
    <row r="11" spans="1:8" ht="20" customHeight="1" x14ac:dyDescent="0.2">
      <c r="A11" s="101" t="s">
        <v>91</v>
      </c>
      <c r="B11" s="19" t="s">
        <v>92</v>
      </c>
      <c r="C11" s="20">
        <f>'Clear Ballot Detail'!B13</f>
        <v>873585</v>
      </c>
      <c r="D11" s="20">
        <f>'Clear Ballot Detail'!D13</f>
        <v>579560</v>
      </c>
      <c r="E11" s="20">
        <f>'Clear Ballot Detail'!F13</f>
        <v>401035</v>
      </c>
      <c r="F11" s="20">
        <f>'Clear Ballot Detail'!H13</f>
        <v>240715</v>
      </c>
      <c r="G11" s="20">
        <f>'Clear Ballot Detail'!J13</f>
        <v>169410</v>
      </c>
      <c r="H11" s="20">
        <f>'Clear Ballot Detail'!L13</f>
        <v>118715</v>
      </c>
    </row>
    <row r="12" spans="1:8" ht="20" customHeight="1" x14ac:dyDescent="0.2">
      <c r="A12" s="107"/>
      <c r="B12" s="19" t="s">
        <v>93</v>
      </c>
      <c r="C12" s="20">
        <f>'Clear Ballot Detail'!B28</f>
        <v>115951</v>
      </c>
      <c r="D12" s="20">
        <f>'Clear Ballot Detail'!D28</f>
        <v>76600</v>
      </c>
      <c r="E12" s="20">
        <f>'Clear Ballot Detail'!F28</f>
        <v>50720</v>
      </c>
      <c r="F12" s="20">
        <f>'Clear Ballot Detail'!H28</f>
        <v>26800</v>
      </c>
      <c r="G12" s="20">
        <f>'Clear Ballot Detail'!J28</f>
        <v>17326</v>
      </c>
      <c r="H12" s="20">
        <f>'Clear Ballot Detail'!L28</f>
        <v>12195</v>
      </c>
    </row>
    <row r="13" spans="1:8" ht="20" customHeight="1" x14ac:dyDescent="0.2">
      <c r="A13" s="107"/>
      <c r="B13" s="19" t="s">
        <v>94</v>
      </c>
      <c r="C13" s="20">
        <f>'Clear Ballot Detail'!B31</f>
        <v>1917144</v>
      </c>
      <c r="D13" s="20">
        <f>'Clear Ballot Detail'!D31</f>
        <v>1268960</v>
      </c>
      <c r="E13" s="20">
        <f>'Clear Ballot Detail'!F31</f>
        <v>857515</v>
      </c>
      <c r="F13" s="20">
        <f>'Clear Ballot Detail'!H31</f>
        <v>481915</v>
      </c>
      <c r="G13" s="20">
        <f>'Clear Ballot Detail'!J31</f>
        <v>325344</v>
      </c>
      <c r="H13" s="20">
        <f>'Clear Ballot Detail'!L31</f>
        <v>228470</v>
      </c>
    </row>
    <row r="14" spans="1:8" ht="20" customHeight="1" x14ac:dyDescent="0.2">
      <c r="A14" s="107"/>
      <c r="B14" s="19" t="s">
        <v>166</v>
      </c>
      <c r="C14" s="20"/>
      <c r="D14" s="20"/>
      <c r="E14" s="20"/>
      <c r="F14" s="20"/>
      <c r="G14" s="20"/>
      <c r="H14" s="20"/>
    </row>
    <row r="15" spans="1:8" ht="20" customHeight="1" x14ac:dyDescent="0.2">
      <c r="A15" s="107"/>
      <c r="B15" s="19" t="s">
        <v>171</v>
      </c>
      <c r="C15" s="29"/>
      <c r="D15" s="29"/>
      <c r="E15" s="29"/>
      <c r="F15" s="29"/>
      <c r="G15" s="29"/>
      <c r="H15" s="29"/>
    </row>
    <row r="16" spans="1:8" ht="20" customHeight="1" x14ac:dyDescent="0.2">
      <c r="A16" s="35"/>
      <c r="B16" s="36"/>
      <c r="C16" s="37"/>
      <c r="D16" s="37"/>
      <c r="E16" s="37"/>
      <c r="F16" s="37"/>
      <c r="G16" s="37"/>
      <c r="H16" s="38"/>
    </row>
    <row r="17" spans="1:8" ht="20" customHeight="1" x14ac:dyDescent="0.2">
      <c r="A17" s="108" t="s">
        <v>95</v>
      </c>
      <c r="B17" s="19" t="s">
        <v>92</v>
      </c>
      <c r="C17" s="58">
        <f>'Dominion Detail'!B14</f>
        <v>579698</v>
      </c>
      <c r="D17" s="58">
        <f>'Dominion Detail'!D14</f>
        <v>409704</v>
      </c>
      <c r="E17" s="58">
        <f>'Dominion Detail'!F14</f>
        <v>259191</v>
      </c>
      <c r="F17" s="58">
        <f>'Dominion Detail'!H14</f>
        <v>185249</v>
      </c>
      <c r="G17" s="58">
        <f>'Dominion Detail'!J14</f>
        <v>101944</v>
      </c>
      <c r="H17" s="58">
        <f>'Dominion Detail'!L14</f>
        <v>76417</v>
      </c>
    </row>
    <row r="18" spans="1:8" ht="20" customHeight="1" x14ac:dyDescent="0.2">
      <c r="A18" s="109"/>
      <c r="B18" s="29" t="s">
        <v>93</v>
      </c>
      <c r="C18" s="20">
        <f>'Dominion Detail'!B29</f>
        <v>73175</v>
      </c>
      <c r="D18" s="20">
        <f>'Dominion Detail'!D29</f>
        <v>53050</v>
      </c>
      <c r="E18" s="20">
        <f>'Dominion Detail'!F29</f>
        <v>33525</v>
      </c>
      <c r="F18" s="20">
        <f>'Dominion Detail'!H29</f>
        <v>28650</v>
      </c>
      <c r="G18" s="20">
        <f>'Dominion Detail'!J29</f>
        <v>14950</v>
      </c>
      <c r="H18" s="20">
        <f>'Dominion Detail'!L29</f>
        <v>11700</v>
      </c>
    </row>
    <row r="19" spans="1:8" ht="20" customHeight="1" x14ac:dyDescent="0.2">
      <c r="A19" s="109"/>
      <c r="B19" s="29" t="s">
        <v>94</v>
      </c>
      <c r="C19" s="58">
        <f>'Dominion Detail'!B32</f>
        <v>1238273</v>
      </c>
      <c r="D19" s="58">
        <f>'Dominion Detail'!D32</f>
        <v>887154</v>
      </c>
      <c r="E19" s="58">
        <f>'Dominion Detail'!F32</f>
        <v>560916</v>
      </c>
      <c r="F19" s="58">
        <f>'Dominion Detail'!H32</f>
        <v>443099</v>
      </c>
      <c r="G19" s="58">
        <f>'Dominion Detail'!J32</f>
        <v>236494</v>
      </c>
      <c r="H19" s="20">
        <f>'Dominion Detail'!L32</f>
        <v>181717</v>
      </c>
    </row>
    <row r="20" spans="1:8" ht="20" customHeight="1" x14ac:dyDescent="0.2">
      <c r="A20" s="109"/>
      <c r="B20" s="19" t="s">
        <v>166</v>
      </c>
      <c r="C20" s="29"/>
      <c r="D20" s="29"/>
      <c r="E20" s="29"/>
      <c r="F20" s="29"/>
      <c r="G20" s="29"/>
      <c r="H20" s="29"/>
    </row>
    <row r="21" spans="1:8" ht="20" customHeight="1" x14ac:dyDescent="0.2">
      <c r="A21" s="110"/>
      <c r="B21" s="19" t="s">
        <v>168</v>
      </c>
      <c r="C21" s="78"/>
      <c r="D21" s="78"/>
      <c r="E21" s="78"/>
      <c r="F21" s="78"/>
      <c r="G21" s="78"/>
      <c r="H21" s="78"/>
    </row>
    <row r="22" spans="1:8" ht="20" customHeight="1" x14ac:dyDescent="0.2">
      <c r="A22" s="39"/>
      <c r="B22" s="34"/>
      <c r="C22" s="34"/>
      <c r="D22" s="34"/>
      <c r="E22" s="34"/>
      <c r="F22" s="34"/>
      <c r="G22" s="34"/>
      <c r="H22" s="34"/>
    </row>
    <row r="23" spans="1:8" ht="20" customHeight="1" x14ac:dyDescent="0.2">
      <c r="A23" s="101" t="s">
        <v>96</v>
      </c>
      <c r="B23" s="19" t="s">
        <v>92</v>
      </c>
      <c r="C23" s="20">
        <f>'ES&amp;S Detail'!B16</f>
        <v>235705</v>
      </c>
      <c r="D23" s="20">
        <f>'ES&amp;S Detail'!D16</f>
        <v>146680</v>
      </c>
      <c r="E23" s="20">
        <f>'ES&amp;S Detail'!F16</f>
        <v>135430</v>
      </c>
      <c r="F23" s="20">
        <f>'ES&amp;S Detail'!H16</f>
        <v>109180</v>
      </c>
      <c r="G23" s="20">
        <f>'ES&amp;S Detail'!J16</f>
        <v>61542</v>
      </c>
      <c r="H23" s="20">
        <f>'ES&amp;S Detail'!L16</f>
        <v>54042.1</v>
      </c>
    </row>
    <row r="24" spans="1:8" ht="20" customHeight="1" x14ac:dyDescent="0.2">
      <c r="A24" s="102"/>
      <c r="B24" s="29" t="s">
        <v>93</v>
      </c>
      <c r="C24" s="20">
        <f>'ES&amp;S Detail'!B35</f>
        <v>32252.5</v>
      </c>
      <c r="D24" s="20">
        <f>'ES&amp;S Detail'!D35</f>
        <v>30015</v>
      </c>
      <c r="E24" s="20">
        <f>'ES&amp;S Detail'!F35</f>
        <v>29527.5</v>
      </c>
      <c r="F24" s="20">
        <f>'ES&amp;S Detail'!H35</f>
        <v>28390</v>
      </c>
      <c r="G24" s="20">
        <f>'ES&amp;S Detail'!J35</f>
        <v>25107.5</v>
      </c>
      <c r="H24" s="20">
        <f>'ES&amp;S Detail'!L35</f>
        <v>24782.5</v>
      </c>
    </row>
    <row r="25" spans="1:8" ht="20" customHeight="1" x14ac:dyDescent="0.2">
      <c r="A25" s="102"/>
      <c r="B25" s="29" t="s">
        <v>94</v>
      </c>
      <c r="C25" s="58">
        <f>'ES&amp;S Detail'!B38</f>
        <v>525977.5</v>
      </c>
      <c r="D25" s="58">
        <f>'ES&amp;S Detail'!D38</f>
        <v>416815</v>
      </c>
      <c r="E25" s="58">
        <f>'ES&amp;S Detail'!F38</f>
        <v>401177.5</v>
      </c>
      <c r="F25" s="58">
        <f>'ES&amp;S Detail'!H38</f>
        <v>364690</v>
      </c>
      <c r="G25" s="58">
        <f>'ES&amp;S Detail'!J38</f>
        <v>287509.5</v>
      </c>
      <c r="H25" s="58">
        <f>'ES&amp;S Detail'!L38</f>
        <v>277084.59999999998</v>
      </c>
    </row>
    <row r="26" spans="1:8" ht="20" customHeight="1" x14ac:dyDescent="0.2">
      <c r="A26" s="102"/>
      <c r="B26" s="19" t="s">
        <v>166</v>
      </c>
      <c r="C26" s="20"/>
      <c r="D26" s="20"/>
      <c r="E26" s="20"/>
      <c r="F26" s="20"/>
      <c r="G26" s="20"/>
      <c r="H26" s="20"/>
    </row>
    <row r="27" spans="1:8" ht="20" customHeight="1" x14ac:dyDescent="0.2">
      <c r="A27" s="102"/>
      <c r="B27" s="19" t="s">
        <v>169</v>
      </c>
      <c r="C27" s="78"/>
      <c r="D27" s="78"/>
      <c r="E27" s="78"/>
      <c r="F27" s="78"/>
      <c r="G27" s="78"/>
      <c r="H27" s="78"/>
    </row>
    <row r="28" spans="1:8" ht="20" customHeight="1" x14ac:dyDescent="0.2">
      <c r="A28" s="34"/>
      <c r="B28" s="34"/>
      <c r="C28" s="34"/>
      <c r="D28" s="34"/>
      <c r="E28" s="34"/>
      <c r="F28" s="34"/>
      <c r="G28" s="34"/>
      <c r="H28" s="34"/>
    </row>
    <row r="29" spans="1:8" ht="20" customHeight="1" x14ac:dyDescent="0.2">
      <c r="A29" s="101" t="s">
        <v>97</v>
      </c>
      <c r="B29" s="19" t="s">
        <v>92</v>
      </c>
      <c r="C29" s="58">
        <f>'Hart Detail'!B22</f>
        <v>372502</v>
      </c>
      <c r="D29" s="58">
        <f>'Hart Detail'!D22</f>
        <v>229016</v>
      </c>
      <c r="E29" s="58">
        <f>'Hart Detail'!F22</f>
        <v>193404</v>
      </c>
      <c r="F29" s="58">
        <f>'Hart Detail'!H22</f>
        <v>124416</v>
      </c>
      <c r="G29" s="58">
        <f>'Hart Detail'!J22</f>
        <v>105820</v>
      </c>
      <c r="H29" s="58">
        <f>'Hart Detail'!L22</f>
        <v>74125</v>
      </c>
    </row>
    <row r="30" spans="1:8" ht="20" customHeight="1" x14ac:dyDescent="0.2">
      <c r="A30" s="102"/>
      <c r="B30" s="29" t="s">
        <v>93</v>
      </c>
      <c r="C30" s="58">
        <f>'Hart Detail'!B36</f>
        <v>51227</v>
      </c>
      <c r="D30" s="58">
        <f>'Hart Detail'!D36</f>
        <v>32386</v>
      </c>
      <c r="E30" s="58">
        <f>'Hart Detail'!F36</f>
        <v>29439</v>
      </c>
      <c r="F30" s="58">
        <f>'Hart Detail'!H36</f>
        <v>23396</v>
      </c>
      <c r="G30" s="58">
        <f>'Hart Detail'!J36</f>
        <v>12000</v>
      </c>
      <c r="H30" s="58">
        <f>'Hart Detail'!K36</f>
        <v>6600.0000000000009</v>
      </c>
    </row>
    <row r="31" spans="1:8" ht="20" customHeight="1" x14ac:dyDescent="0.2">
      <c r="A31" s="102"/>
      <c r="B31" s="29" t="s">
        <v>94</v>
      </c>
      <c r="C31" s="58">
        <f>'Hart Detail'!B39</f>
        <v>833545</v>
      </c>
      <c r="D31" s="58">
        <f>'Hart Detail'!D39</f>
        <v>520490</v>
      </c>
      <c r="E31" s="58">
        <f>'Hart Detail'!F39</f>
        <v>458355</v>
      </c>
      <c r="F31" s="58">
        <f>'Hart Detail'!H39</f>
        <v>334980</v>
      </c>
      <c r="G31" s="58">
        <f>'Hart Detail'!J39</f>
        <v>213820</v>
      </c>
      <c r="H31" s="58">
        <f>'Hart Detail'!L39</f>
        <v>141625</v>
      </c>
    </row>
    <row r="32" spans="1:8" ht="20" customHeight="1" x14ac:dyDescent="0.2">
      <c r="A32" s="102"/>
      <c r="B32" s="19" t="s">
        <v>166</v>
      </c>
      <c r="C32" s="20"/>
      <c r="D32" s="20"/>
      <c r="E32" s="20"/>
      <c r="F32" s="20"/>
      <c r="G32" s="20"/>
      <c r="H32" s="20"/>
    </row>
    <row r="33" spans="1:8" ht="20" customHeight="1" x14ac:dyDescent="0.2">
      <c r="A33" s="102"/>
      <c r="B33" s="19" t="s">
        <v>170</v>
      </c>
      <c r="C33" s="59"/>
      <c r="D33" s="59"/>
      <c r="E33" s="59"/>
      <c r="F33" s="59"/>
      <c r="G33" s="59"/>
      <c r="H33" s="59"/>
    </row>
    <row r="34" spans="1:8" ht="20" customHeight="1" x14ac:dyDescent="0.2">
      <c r="A34" s="34"/>
      <c r="B34" s="34"/>
      <c r="C34" s="34"/>
      <c r="D34" s="34"/>
      <c r="E34" s="34"/>
      <c r="F34" s="34"/>
      <c r="G34" s="34"/>
      <c r="H34" s="34"/>
    </row>
    <row r="35" spans="1:8" ht="20" customHeight="1" x14ac:dyDescent="0.2">
      <c r="A35" s="31" t="s">
        <v>155</v>
      </c>
      <c r="B35" s="32" t="s">
        <v>150</v>
      </c>
      <c r="C35" s="32" t="s">
        <v>78</v>
      </c>
      <c r="D35" s="32" t="s">
        <v>79</v>
      </c>
      <c r="E35" s="32" t="s">
        <v>80</v>
      </c>
      <c r="F35" s="32" t="s">
        <v>81</v>
      </c>
      <c r="G35" s="32" t="s">
        <v>82</v>
      </c>
      <c r="H35" s="32" t="s">
        <v>83</v>
      </c>
    </row>
    <row r="36" spans="1:8" ht="20" customHeight="1" x14ac:dyDescent="0.2">
      <c r="A36" s="19" t="s">
        <v>151</v>
      </c>
      <c r="B36" s="29">
        <f>SUM(C36:H36)</f>
        <v>13827620</v>
      </c>
      <c r="C36" s="29">
        <f>C11*C2</f>
        <v>3494340</v>
      </c>
      <c r="D36" s="29">
        <f t="shared" ref="D36:H36" si="0">D11*D2</f>
        <v>1159120</v>
      </c>
      <c r="E36" s="29">
        <f t="shared" si="0"/>
        <v>1203105</v>
      </c>
      <c r="F36" s="29">
        <f t="shared" si="0"/>
        <v>1444290</v>
      </c>
      <c r="G36" s="29">
        <f t="shared" si="0"/>
        <v>2371740</v>
      </c>
      <c r="H36" s="29">
        <f t="shared" si="0"/>
        <v>4155025</v>
      </c>
    </row>
    <row r="37" spans="1:8" ht="20" customHeight="1" x14ac:dyDescent="0.2">
      <c r="A37" s="19" t="s">
        <v>152</v>
      </c>
      <c r="B37" s="78">
        <f>SUM(C37:H37)</f>
        <v>9129078</v>
      </c>
      <c r="C37" s="78">
        <f>C17*C2</f>
        <v>2318792</v>
      </c>
      <c r="D37" s="78">
        <f t="shared" ref="D37:H37" si="1">D17*D2</f>
        <v>819408</v>
      </c>
      <c r="E37" s="78">
        <f t="shared" si="1"/>
        <v>777573</v>
      </c>
      <c r="F37" s="78">
        <f t="shared" si="1"/>
        <v>1111494</v>
      </c>
      <c r="G37" s="78">
        <f t="shared" si="1"/>
        <v>1427216</v>
      </c>
      <c r="H37" s="78">
        <f t="shared" si="1"/>
        <v>2674595</v>
      </c>
    </row>
    <row r="38" spans="1:8" ht="20" customHeight="1" x14ac:dyDescent="0.2">
      <c r="A38" s="19" t="s">
        <v>153</v>
      </c>
      <c r="B38" s="78">
        <f>SUM(C38:H38)</f>
        <v>5050611.5</v>
      </c>
      <c r="C38" s="78">
        <f>C23*C2</f>
        <v>942820</v>
      </c>
      <c r="D38" s="78">
        <f t="shared" ref="D38:H38" si="2">D23*D2</f>
        <v>293360</v>
      </c>
      <c r="E38" s="78">
        <f t="shared" si="2"/>
        <v>406290</v>
      </c>
      <c r="F38" s="78">
        <f t="shared" si="2"/>
        <v>655080</v>
      </c>
      <c r="G38" s="78">
        <f t="shared" si="2"/>
        <v>861588</v>
      </c>
      <c r="H38" s="78">
        <f t="shared" si="2"/>
        <v>1891473.5</v>
      </c>
    </row>
    <row r="39" spans="1:8" ht="20" customHeight="1" x14ac:dyDescent="0.2">
      <c r="A39" s="19" t="s">
        <v>154</v>
      </c>
      <c r="B39" s="78">
        <f>SUM(C39:H39)</f>
        <v>7350603</v>
      </c>
      <c r="C39" s="78">
        <f>C29*C2</f>
        <v>1490008</v>
      </c>
      <c r="D39" s="78">
        <f t="shared" ref="D39:H39" si="3">D29*D2</f>
        <v>458032</v>
      </c>
      <c r="E39" s="78">
        <f t="shared" si="3"/>
        <v>580212</v>
      </c>
      <c r="F39" s="78">
        <f t="shared" si="3"/>
        <v>746496</v>
      </c>
      <c r="G39" s="78">
        <f t="shared" si="3"/>
        <v>1481480</v>
      </c>
      <c r="H39" s="78">
        <f t="shared" si="3"/>
        <v>2594375</v>
      </c>
    </row>
  </sheetData>
  <mergeCells count="6">
    <mergeCell ref="A29:A33"/>
    <mergeCell ref="A1:B1"/>
    <mergeCell ref="A10:B10"/>
    <mergeCell ref="A11:A15"/>
    <mergeCell ref="A17:A21"/>
    <mergeCell ref="A23:A27"/>
  </mergeCells>
  <printOptions horizontalCentered="1"/>
  <pageMargins left="0.7" right="0.7" top="0.75" bottom="0.75" header="0.3" footer="0.3"/>
  <pageSetup paperSize="17" scale="77" orientation="landscape" r:id="rId1"/>
  <headerFooter>
    <oddFooter>&amp;L&amp;F&amp;CPage &amp;P of &amp;N&amp;RFinal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workbookViewId="0">
      <pane ySplit="1" topLeftCell="A10" activePane="bottomLeft" state="frozen"/>
      <selection pane="bottomLeft" activeCell="A25" sqref="A25"/>
    </sheetView>
  </sheetViews>
  <sheetFormatPr baseColWidth="10" defaultColWidth="8.83203125" defaultRowHeight="15" x14ac:dyDescent="0.2"/>
  <cols>
    <col min="1" max="1" width="88.5" bestFit="1" customWidth="1"/>
    <col min="2" max="2" width="11.5" bestFit="1" customWidth="1"/>
    <col min="3" max="3" width="15.5" bestFit="1" customWidth="1"/>
    <col min="4" max="4" width="11.5" bestFit="1" customWidth="1"/>
    <col min="5" max="5" width="15.5" bestFit="1" customWidth="1"/>
    <col min="6" max="6" width="11.5" bestFit="1" customWidth="1"/>
    <col min="7" max="7" width="15.5" bestFit="1" customWidth="1"/>
    <col min="8" max="8" width="11.5" bestFit="1" customWidth="1"/>
    <col min="9" max="9" width="15.5" bestFit="1" customWidth="1"/>
    <col min="10" max="10" width="9.83203125" bestFit="1" customWidth="1"/>
    <col min="11" max="11" width="14" bestFit="1" customWidth="1"/>
    <col min="12" max="12" width="9.83203125" bestFit="1" customWidth="1"/>
    <col min="13" max="13" width="14.5" bestFit="1" customWidth="1"/>
  </cols>
  <sheetData>
    <row r="1" spans="1:13" ht="20" customHeight="1" x14ac:dyDescent="0.25">
      <c r="A1" s="1" t="s">
        <v>98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20" customHeight="1" x14ac:dyDescent="0.2">
      <c r="A2" s="3" t="s">
        <v>13</v>
      </c>
      <c r="C2" s="4"/>
      <c r="D2" s="4"/>
      <c r="E2" s="4"/>
      <c r="F2" s="5"/>
      <c r="G2" s="5"/>
      <c r="H2" s="5"/>
      <c r="I2" s="5"/>
      <c r="J2" s="5"/>
      <c r="K2" s="5"/>
      <c r="L2" s="5"/>
      <c r="M2" s="5"/>
    </row>
    <row r="3" spans="1:13" ht="20" customHeight="1" x14ac:dyDescent="0.2">
      <c r="A3" t="s">
        <v>99</v>
      </c>
      <c r="B3" s="10">
        <f>125750*1</f>
        <v>125750</v>
      </c>
      <c r="C3" s="10">
        <v>0</v>
      </c>
      <c r="D3" s="11">
        <f>80500*1</f>
        <v>80500</v>
      </c>
      <c r="E3" s="11">
        <v>0</v>
      </c>
      <c r="F3" s="10">
        <f>51934*1</f>
        <v>51934</v>
      </c>
      <c r="G3" s="10">
        <v>0</v>
      </c>
      <c r="H3" s="10">
        <f>30360*1</f>
        <v>30360</v>
      </c>
      <c r="I3" s="10">
        <v>0</v>
      </c>
      <c r="J3" s="10">
        <f>24150*1</f>
        <v>24150</v>
      </c>
      <c r="K3" s="10">
        <v>0</v>
      </c>
      <c r="L3" s="10">
        <f>10700*1</f>
        <v>10700</v>
      </c>
      <c r="M3" s="10">
        <v>0</v>
      </c>
    </row>
    <row r="4" spans="1:13" ht="20" customHeight="1" x14ac:dyDescent="0.2">
      <c r="A4" t="s">
        <v>100</v>
      </c>
      <c r="B4" s="10">
        <f>4750*1</f>
        <v>4750</v>
      </c>
      <c r="C4" s="10">
        <v>0</v>
      </c>
      <c r="D4" s="11">
        <f>4750*1</f>
        <v>4750</v>
      </c>
      <c r="E4" s="11">
        <v>0</v>
      </c>
      <c r="F4" s="10">
        <f>4750*1</f>
        <v>4750</v>
      </c>
      <c r="G4" s="10">
        <v>0</v>
      </c>
      <c r="H4" s="10">
        <f>4750*1</f>
        <v>4750</v>
      </c>
      <c r="I4" s="10">
        <v>0</v>
      </c>
      <c r="J4" s="10">
        <f>4750*1</f>
        <v>4750</v>
      </c>
      <c r="K4" s="10">
        <v>0</v>
      </c>
      <c r="L4" s="10">
        <f>4750*1</f>
        <v>4750</v>
      </c>
      <c r="M4" s="10">
        <v>0</v>
      </c>
    </row>
    <row r="5" spans="1:13" ht="20" customHeight="1" x14ac:dyDescent="0.2">
      <c r="A5" t="s">
        <v>101</v>
      </c>
      <c r="B5" s="10">
        <f>424250*1</f>
        <v>424250</v>
      </c>
      <c r="C5" s="10">
        <f>424250*1</f>
        <v>424250</v>
      </c>
      <c r="D5" s="11">
        <f>269500*1</f>
        <v>269500</v>
      </c>
      <c r="E5" s="11">
        <f>269500*1</f>
        <v>269500</v>
      </c>
      <c r="F5" s="10">
        <f>173866*1</f>
        <v>173866</v>
      </c>
      <c r="G5" s="10">
        <f>173866*1</f>
        <v>173866</v>
      </c>
      <c r="H5" s="10">
        <f>101640*1</f>
        <v>101640</v>
      </c>
      <c r="I5" s="10">
        <f>101640*1</f>
        <v>101640</v>
      </c>
      <c r="J5" s="10">
        <f>70850*1</f>
        <v>70850</v>
      </c>
      <c r="K5" s="10">
        <f>70850*1</f>
        <v>70850</v>
      </c>
      <c r="L5" s="10">
        <f>57930*1</f>
        <v>57930</v>
      </c>
      <c r="M5" s="10">
        <f>57930*1</f>
        <v>57930</v>
      </c>
    </row>
    <row r="6" spans="1:13" ht="20" customHeight="1" x14ac:dyDescent="0.2">
      <c r="A6" t="s">
        <v>102</v>
      </c>
      <c r="B6" s="10">
        <f>35225*4</f>
        <v>140900</v>
      </c>
      <c r="C6" s="10">
        <f>35225*4</f>
        <v>140900</v>
      </c>
      <c r="D6" s="11">
        <f>35225*3</f>
        <v>105675</v>
      </c>
      <c r="E6" s="11">
        <f>35225*3</f>
        <v>105675</v>
      </c>
      <c r="F6" s="10">
        <f>35225*2</f>
        <v>70450</v>
      </c>
      <c r="G6" s="10">
        <f>35225*2</f>
        <v>70450</v>
      </c>
      <c r="H6" s="10">
        <f>19715*2</f>
        <v>39430</v>
      </c>
      <c r="I6" s="10">
        <f>19715*2</f>
        <v>39430</v>
      </c>
      <c r="J6" s="10">
        <f>15150*1.5</f>
        <v>22725</v>
      </c>
      <c r="K6" s="10">
        <f>15150*1.5</f>
        <v>22725</v>
      </c>
      <c r="L6" s="10">
        <f>15150*1</f>
        <v>15150</v>
      </c>
      <c r="M6" s="10">
        <f>15150*1</f>
        <v>15150</v>
      </c>
    </row>
    <row r="7" spans="1:13" ht="20" customHeight="1" x14ac:dyDescent="0.2">
      <c r="A7" t="s">
        <v>103</v>
      </c>
      <c r="B7" s="10"/>
      <c r="C7" s="10"/>
      <c r="D7" s="11"/>
      <c r="E7" s="11"/>
      <c r="F7" s="10"/>
      <c r="G7" s="10"/>
      <c r="H7" s="10"/>
      <c r="I7" s="10"/>
      <c r="J7" s="10"/>
      <c r="K7" s="10"/>
      <c r="L7" s="10"/>
      <c r="M7" s="10"/>
    </row>
    <row r="8" spans="1:13" ht="20" customHeight="1" x14ac:dyDescent="0.2">
      <c r="A8" t="s">
        <v>104</v>
      </c>
      <c r="B8" s="10"/>
      <c r="C8" s="10"/>
      <c r="D8" s="11"/>
      <c r="E8" s="11"/>
      <c r="F8" s="10"/>
      <c r="G8" s="10"/>
      <c r="H8" s="10"/>
      <c r="I8" s="10"/>
      <c r="J8" s="10"/>
      <c r="K8" s="10"/>
      <c r="L8" s="10"/>
      <c r="M8" s="10"/>
    </row>
    <row r="9" spans="1:13" ht="20" customHeight="1" x14ac:dyDescent="0.2">
      <c r="A9" t="s">
        <v>105</v>
      </c>
      <c r="B9" s="10">
        <f>4500*23</f>
        <v>103500</v>
      </c>
      <c r="C9" s="10">
        <f>4500*23</f>
        <v>103500</v>
      </c>
      <c r="D9" s="11">
        <f>4500*14</f>
        <v>63000</v>
      </c>
      <c r="E9" s="11">
        <f>4500*14</f>
        <v>63000</v>
      </c>
      <c r="F9" s="10">
        <f>4500*11</f>
        <v>49500</v>
      </c>
      <c r="G9" s="10">
        <f>4500*11</f>
        <v>49500</v>
      </c>
      <c r="H9" s="10">
        <f>4500*4</f>
        <v>18000</v>
      </c>
      <c r="I9" s="10">
        <f>4500*4</f>
        <v>18000</v>
      </c>
      <c r="J9" s="10">
        <f>4500*3</f>
        <v>13500</v>
      </c>
      <c r="K9" s="10">
        <f>4500*3</f>
        <v>13500</v>
      </c>
      <c r="L9" s="10">
        <f>4500*1</f>
        <v>4500</v>
      </c>
      <c r="M9" s="10">
        <f>4500*1</f>
        <v>4500</v>
      </c>
    </row>
    <row r="10" spans="1:13" ht="20" customHeight="1" x14ac:dyDescent="0.2">
      <c r="A10" t="s">
        <v>106</v>
      </c>
      <c r="B10" s="10"/>
      <c r="C10" s="11"/>
      <c r="D10" s="11"/>
      <c r="E10" s="11"/>
      <c r="F10" s="10"/>
      <c r="G10" s="10"/>
      <c r="H10" s="10"/>
      <c r="I10" s="10"/>
      <c r="J10" s="10"/>
      <c r="K10" s="10"/>
      <c r="L10" s="10"/>
      <c r="M10" s="10"/>
    </row>
    <row r="11" spans="1:13" ht="20" customHeight="1" x14ac:dyDescent="0.2">
      <c r="A11" t="s">
        <v>107</v>
      </c>
      <c r="B11" s="10"/>
      <c r="C11" s="11"/>
      <c r="D11" s="11"/>
      <c r="E11" s="11"/>
      <c r="F11" s="10"/>
      <c r="G11" s="10"/>
      <c r="H11" s="10"/>
      <c r="I11" s="10"/>
      <c r="J11" s="10"/>
      <c r="K11" s="10"/>
      <c r="L11" s="10"/>
      <c r="M11" s="10"/>
    </row>
    <row r="12" spans="1:13" ht="20" customHeight="1" x14ac:dyDescent="0.2">
      <c r="A12" t="s">
        <v>22</v>
      </c>
      <c r="B12" s="10">
        <v>74435</v>
      </c>
      <c r="C12" s="11">
        <v>45785</v>
      </c>
      <c r="D12" s="11">
        <v>56135</v>
      </c>
      <c r="E12" s="11">
        <v>36385</v>
      </c>
      <c r="F12" s="10">
        <v>50535</v>
      </c>
      <c r="G12" s="10">
        <v>32985</v>
      </c>
      <c r="H12" s="10">
        <v>46535</v>
      </c>
      <c r="I12" s="10">
        <v>30585</v>
      </c>
      <c r="J12" s="10">
        <v>33435</v>
      </c>
      <c r="K12" s="10">
        <v>23285</v>
      </c>
      <c r="L12" s="10">
        <v>25685</v>
      </c>
      <c r="M12" s="10">
        <v>18685</v>
      </c>
    </row>
    <row r="13" spans="1:13" ht="20" customHeight="1" x14ac:dyDescent="0.2">
      <c r="A13" s="3" t="s">
        <v>23</v>
      </c>
      <c r="B13" s="6">
        <f t="shared" ref="B13:M13" si="0">SUM(B3:B12)</f>
        <v>873585</v>
      </c>
      <c r="C13" s="6">
        <f t="shared" si="0"/>
        <v>714435</v>
      </c>
      <c r="D13" s="6">
        <f t="shared" si="0"/>
        <v>579560</v>
      </c>
      <c r="E13" s="6">
        <f t="shared" si="0"/>
        <v>474560</v>
      </c>
      <c r="F13" s="6">
        <f t="shared" si="0"/>
        <v>401035</v>
      </c>
      <c r="G13" s="6">
        <f t="shared" si="0"/>
        <v>326801</v>
      </c>
      <c r="H13" s="6">
        <f t="shared" si="0"/>
        <v>240715</v>
      </c>
      <c r="I13" s="6">
        <f t="shared" si="0"/>
        <v>189655</v>
      </c>
      <c r="J13" s="6">
        <f t="shared" si="0"/>
        <v>169410</v>
      </c>
      <c r="K13" s="6">
        <f t="shared" si="0"/>
        <v>130360</v>
      </c>
      <c r="L13" s="6">
        <f t="shared" si="0"/>
        <v>118715</v>
      </c>
      <c r="M13" s="6">
        <f t="shared" si="0"/>
        <v>96265</v>
      </c>
    </row>
    <row r="14" spans="1:13" ht="20" customHeight="1" x14ac:dyDescent="0.2">
      <c r="A14" s="3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0" customHeight="1" x14ac:dyDescent="0.2">
      <c r="A15" s="3" t="s">
        <v>24</v>
      </c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20" customHeight="1" x14ac:dyDescent="0.2">
      <c r="A16" t="s">
        <v>108</v>
      </c>
      <c r="B16" s="10">
        <v>185544</v>
      </c>
      <c r="C16" s="10">
        <v>151742</v>
      </c>
      <c r="D16" s="10">
        <v>123095</v>
      </c>
      <c r="E16" s="10">
        <v>100794</v>
      </c>
      <c r="F16" s="10">
        <v>85818</v>
      </c>
      <c r="G16" s="10">
        <v>69933</v>
      </c>
      <c r="H16" s="10">
        <v>51511</v>
      </c>
      <c r="I16" s="10">
        <v>40585</v>
      </c>
      <c r="J16" s="10">
        <v>36252</v>
      </c>
      <c r="K16" s="10">
        <v>27896</v>
      </c>
      <c r="L16" s="10">
        <v>25404</v>
      </c>
      <c r="M16" s="10">
        <v>20926</v>
      </c>
    </row>
    <row r="17" spans="1:13" ht="20" customHeight="1" x14ac:dyDescent="0.2">
      <c r="A17" t="s">
        <v>109</v>
      </c>
      <c r="B17" s="6">
        <f t="shared" ref="B17:M17" si="1">B16*5</f>
        <v>927720</v>
      </c>
      <c r="C17" s="6">
        <f t="shared" si="1"/>
        <v>758710</v>
      </c>
      <c r="D17" s="6">
        <f t="shared" si="1"/>
        <v>615475</v>
      </c>
      <c r="E17" s="6">
        <f t="shared" si="1"/>
        <v>503970</v>
      </c>
      <c r="F17" s="6">
        <f t="shared" si="1"/>
        <v>429090</v>
      </c>
      <c r="G17" s="6">
        <f t="shared" si="1"/>
        <v>349665</v>
      </c>
      <c r="H17" s="6">
        <f t="shared" si="1"/>
        <v>257555</v>
      </c>
      <c r="I17" s="6">
        <f t="shared" si="1"/>
        <v>202925</v>
      </c>
      <c r="J17" s="6">
        <f t="shared" si="1"/>
        <v>181260</v>
      </c>
      <c r="K17" s="6">
        <f t="shared" si="1"/>
        <v>139480</v>
      </c>
      <c r="L17" s="6">
        <f t="shared" si="1"/>
        <v>127020</v>
      </c>
      <c r="M17" s="6">
        <f t="shared" si="1"/>
        <v>104630</v>
      </c>
    </row>
    <row r="18" spans="1:13" ht="20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0" customHeight="1" x14ac:dyDescent="0.2">
      <c r="A19" s="3" t="s">
        <v>27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20" customHeight="1" x14ac:dyDescent="0.2">
      <c r="A20" s="7" t="s">
        <v>110</v>
      </c>
      <c r="B20" s="10">
        <f>18863*1</f>
        <v>18863</v>
      </c>
      <c r="C20" s="10">
        <v>0</v>
      </c>
      <c r="D20" s="10">
        <f>12075*1</f>
        <v>12075</v>
      </c>
      <c r="E20" s="10">
        <v>0</v>
      </c>
      <c r="F20" s="10">
        <f>7790*1</f>
        <v>7790</v>
      </c>
      <c r="G20" s="10">
        <v>0</v>
      </c>
      <c r="H20" s="10">
        <f>4554*1</f>
        <v>4554</v>
      </c>
      <c r="I20" s="10">
        <v>0</v>
      </c>
      <c r="J20" s="10">
        <f>3623*1</f>
        <v>3623</v>
      </c>
      <c r="K20" s="10">
        <v>0</v>
      </c>
      <c r="L20" s="10">
        <f>1605*1</f>
        <v>1605</v>
      </c>
      <c r="M20" s="10">
        <v>0</v>
      </c>
    </row>
    <row r="21" spans="1:13" ht="20" customHeight="1" x14ac:dyDescent="0.2">
      <c r="A21" s="7" t="s">
        <v>111</v>
      </c>
      <c r="B21" s="10">
        <f>600*1</f>
        <v>600</v>
      </c>
      <c r="C21" s="10">
        <v>0</v>
      </c>
      <c r="D21" s="10">
        <f>600*1</f>
        <v>600</v>
      </c>
      <c r="E21" s="10">
        <v>0</v>
      </c>
      <c r="F21" s="10">
        <v>600</v>
      </c>
      <c r="G21" s="10">
        <v>0</v>
      </c>
      <c r="H21" s="10">
        <f>600*1</f>
        <v>600</v>
      </c>
      <c r="I21" s="10">
        <v>0</v>
      </c>
      <c r="J21" s="10">
        <f>600*1</f>
        <v>600</v>
      </c>
      <c r="K21" s="10">
        <v>0</v>
      </c>
      <c r="L21" s="10">
        <f>600*1</f>
        <v>600</v>
      </c>
      <c r="M21" s="10">
        <v>0</v>
      </c>
    </row>
    <row r="22" spans="1:13" ht="20" customHeight="1" x14ac:dyDescent="0.2">
      <c r="A22" s="7" t="s">
        <v>101</v>
      </c>
      <c r="B22" s="10">
        <f>63638*1</f>
        <v>63638</v>
      </c>
      <c r="C22" s="10">
        <f>63638*1</f>
        <v>63638</v>
      </c>
      <c r="D22" s="10">
        <f>40425*1</f>
        <v>40425</v>
      </c>
      <c r="E22" s="10">
        <f>40425*1</f>
        <v>40425</v>
      </c>
      <c r="F22" s="10">
        <f>26080*1</f>
        <v>26080</v>
      </c>
      <c r="G22" s="10">
        <f>26080*1</f>
        <v>26080</v>
      </c>
      <c r="H22" s="10">
        <f>15246*1</f>
        <v>15246</v>
      </c>
      <c r="I22" s="10">
        <f>15246*1</f>
        <v>15246</v>
      </c>
      <c r="J22" s="10">
        <f>10628*1</f>
        <v>10628</v>
      </c>
      <c r="K22" s="10">
        <f>10628*1</f>
        <v>10628</v>
      </c>
      <c r="L22" s="10">
        <f>8690*1</f>
        <v>8690</v>
      </c>
      <c r="M22" s="10">
        <f>8690*1</f>
        <v>8690</v>
      </c>
    </row>
    <row r="23" spans="1:13" ht="20" customHeight="1" x14ac:dyDescent="0.2">
      <c r="A23" s="7" t="s">
        <v>102</v>
      </c>
      <c r="B23" s="10">
        <f>6200*4</f>
        <v>24800</v>
      </c>
      <c r="C23" s="10">
        <f>6200*4</f>
        <v>24800</v>
      </c>
      <c r="D23" s="10">
        <f>6200*3</f>
        <v>18600</v>
      </c>
      <c r="E23" s="10">
        <f>6200*3</f>
        <v>18600</v>
      </c>
      <c r="F23" s="10">
        <f>6200*2</f>
        <v>12400</v>
      </c>
      <c r="G23" s="10">
        <f>6200*2</f>
        <v>12400</v>
      </c>
      <c r="H23" s="10">
        <f>2500*2</f>
        <v>5000</v>
      </c>
      <c r="I23" s="10">
        <f>2500*2</f>
        <v>5000</v>
      </c>
      <c r="J23" s="10">
        <f>950*1.5</f>
        <v>1425</v>
      </c>
      <c r="K23" s="10">
        <f>950*1.5</f>
        <v>1425</v>
      </c>
      <c r="L23" s="10">
        <f>950*1</f>
        <v>950</v>
      </c>
      <c r="M23" s="10">
        <f>950*1</f>
        <v>950</v>
      </c>
    </row>
    <row r="24" spans="1:13" ht="20" customHeight="1" x14ac:dyDescent="0.2">
      <c r="A24" s="7" t="s">
        <v>112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" customHeight="1" x14ac:dyDescent="0.2">
      <c r="A25" s="7" t="s">
        <v>113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20" customHeight="1" x14ac:dyDescent="0.2">
      <c r="A26" s="7" t="s">
        <v>114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0" customHeight="1" x14ac:dyDescent="0.2">
      <c r="A27" s="7" t="s">
        <v>115</v>
      </c>
      <c r="B27" s="10">
        <f>350*23</f>
        <v>8050</v>
      </c>
      <c r="C27" s="10">
        <f>350*23</f>
        <v>8050</v>
      </c>
      <c r="D27" s="10">
        <f>350*14</f>
        <v>4900</v>
      </c>
      <c r="E27" s="10">
        <f>350*14</f>
        <v>4900</v>
      </c>
      <c r="F27" s="10">
        <f>350*11</f>
        <v>3850</v>
      </c>
      <c r="G27" s="10">
        <f>350*11</f>
        <v>3850</v>
      </c>
      <c r="H27" s="10">
        <f>350*4</f>
        <v>1400</v>
      </c>
      <c r="I27" s="10">
        <f>350*4</f>
        <v>1400</v>
      </c>
      <c r="J27" s="10">
        <f>350*3</f>
        <v>1050</v>
      </c>
      <c r="K27" s="10">
        <f>350*3</f>
        <v>1050</v>
      </c>
      <c r="L27" s="10">
        <f>350*1</f>
        <v>350</v>
      </c>
      <c r="M27" s="10">
        <f>350*1</f>
        <v>350</v>
      </c>
    </row>
    <row r="28" spans="1:13" ht="20" customHeight="1" x14ac:dyDescent="0.2">
      <c r="A28" s="3" t="s">
        <v>36</v>
      </c>
      <c r="B28" s="6">
        <f t="shared" ref="B28:M28" si="2">SUM(B20:B27)</f>
        <v>115951</v>
      </c>
      <c r="C28" s="6">
        <f t="shared" si="2"/>
        <v>96488</v>
      </c>
      <c r="D28" s="6">
        <f t="shared" si="2"/>
        <v>76600</v>
      </c>
      <c r="E28" s="6">
        <f t="shared" si="2"/>
        <v>63925</v>
      </c>
      <c r="F28" s="6">
        <f t="shared" si="2"/>
        <v>50720</v>
      </c>
      <c r="G28" s="6">
        <f t="shared" si="2"/>
        <v>42330</v>
      </c>
      <c r="H28" s="6">
        <f t="shared" si="2"/>
        <v>26800</v>
      </c>
      <c r="I28" s="6">
        <f t="shared" si="2"/>
        <v>21646</v>
      </c>
      <c r="J28" s="6">
        <f t="shared" si="2"/>
        <v>17326</v>
      </c>
      <c r="K28" s="6">
        <f t="shared" si="2"/>
        <v>13103</v>
      </c>
      <c r="L28" s="6">
        <f t="shared" si="2"/>
        <v>12195</v>
      </c>
      <c r="M28" s="6">
        <f t="shared" si="2"/>
        <v>9990</v>
      </c>
    </row>
    <row r="29" spans="1:13" ht="20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" customHeight="1" x14ac:dyDescent="0.2">
      <c r="A30" s="3" t="s">
        <v>37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20" customHeight="1" x14ac:dyDescent="0.2">
      <c r="A31" s="3" t="s">
        <v>38</v>
      </c>
      <c r="B31" s="6">
        <f t="shared" ref="B31:M31" si="3">B13+(B28*9)</f>
        <v>1917144</v>
      </c>
      <c r="C31" s="6">
        <f t="shared" si="3"/>
        <v>1582827</v>
      </c>
      <c r="D31" s="6">
        <f t="shared" si="3"/>
        <v>1268960</v>
      </c>
      <c r="E31" s="6">
        <f t="shared" si="3"/>
        <v>1049885</v>
      </c>
      <c r="F31" s="6">
        <f t="shared" si="3"/>
        <v>857515</v>
      </c>
      <c r="G31" s="6">
        <f t="shared" si="3"/>
        <v>707771</v>
      </c>
      <c r="H31" s="6">
        <f t="shared" si="3"/>
        <v>481915</v>
      </c>
      <c r="I31" s="6">
        <f t="shared" si="3"/>
        <v>384469</v>
      </c>
      <c r="J31" s="6">
        <f t="shared" si="3"/>
        <v>325344</v>
      </c>
      <c r="K31" s="6">
        <f t="shared" si="3"/>
        <v>248287</v>
      </c>
      <c r="L31" s="6">
        <f t="shared" si="3"/>
        <v>228470</v>
      </c>
      <c r="M31" s="6">
        <f t="shared" si="3"/>
        <v>186175</v>
      </c>
    </row>
    <row r="32" spans="1:13" ht="20" customHeight="1" x14ac:dyDescent="0.2">
      <c r="A32" s="3" t="s">
        <v>39</v>
      </c>
      <c r="B32" s="6">
        <f t="shared" ref="B32:K32" si="4">B17+(B28*9)</f>
        <v>1971279</v>
      </c>
      <c r="C32" s="6">
        <f t="shared" si="4"/>
        <v>1627102</v>
      </c>
      <c r="D32" s="6">
        <f t="shared" si="4"/>
        <v>1304875</v>
      </c>
      <c r="E32" s="6">
        <f t="shared" si="4"/>
        <v>1079295</v>
      </c>
      <c r="F32" s="6">
        <f t="shared" si="4"/>
        <v>885570</v>
      </c>
      <c r="G32" s="6">
        <f t="shared" si="4"/>
        <v>730635</v>
      </c>
      <c r="H32" s="6">
        <f t="shared" si="4"/>
        <v>498755</v>
      </c>
      <c r="I32" s="6">
        <f t="shared" si="4"/>
        <v>397739</v>
      </c>
      <c r="J32" s="6">
        <f t="shared" si="4"/>
        <v>337194</v>
      </c>
      <c r="K32" s="6">
        <f t="shared" si="4"/>
        <v>257407</v>
      </c>
      <c r="L32" s="6">
        <f>L17+(L28*9)</f>
        <v>236775</v>
      </c>
      <c r="M32" s="6">
        <f>M17+(M28*9)</f>
        <v>194540</v>
      </c>
    </row>
    <row r="33" spans="1:13" ht="20" customHeight="1" x14ac:dyDescent="0.2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20" customHeight="1" x14ac:dyDescent="0.2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0" customHeight="1" x14ac:dyDescent="0.2">
      <c r="A35" s="3" t="s">
        <v>40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48" x14ac:dyDescent="0.2">
      <c r="A36" s="9" t="s">
        <v>116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32" x14ac:dyDescent="0.2">
      <c r="A37" s="30" t="s">
        <v>117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6" x14ac:dyDescent="0.2">
      <c r="A38" s="9" t="s">
        <v>42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</sheetData>
  <printOptions gridLines="1"/>
  <pageMargins left="0.7" right="0.7" top="0.75" bottom="0.75" header="0.3" footer="0.3"/>
  <pageSetup paperSize="17" scale="81" orientation="landscape" r:id="rId1"/>
  <headerFooter>
    <oddFooter>&amp;L&amp;F&amp;CPage &amp;P of &amp;N&amp;RFinal Version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workbookViewId="0">
      <pane ySplit="1" topLeftCell="A23" activePane="bottomLeft" state="frozen"/>
      <selection activeCell="B1" sqref="B1"/>
      <selection pane="bottomLeft" activeCell="A39" sqref="A39"/>
    </sheetView>
  </sheetViews>
  <sheetFormatPr baseColWidth="10" defaultColWidth="8.83203125" defaultRowHeight="15" x14ac:dyDescent="0.2"/>
  <cols>
    <col min="1" max="1" width="138.5" bestFit="1" customWidth="1"/>
    <col min="2" max="2" width="11.5" bestFit="1" customWidth="1"/>
    <col min="3" max="3" width="15.5" bestFit="1" customWidth="1"/>
    <col min="4" max="4" width="11.5" bestFit="1" customWidth="1"/>
    <col min="5" max="5" width="15.5" bestFit="1" customWidth="1"/>
    <col min="6" max="6" width="11.5" bestFit="1" customWidth="1"/>
    <col min="7" max="7" width="15.5" bestFit="1" customWidth="1"/>
    <col min="8" max="8" width="11.5" bestFit="1" customWidth="1"/>
    <col min="9" max="9" width="15.5" bestFit="1" customWidth="1"/>
    <col min="10" max="10" width="9.83203125" bestFit="1" customWidth="1"/>
    <col min="11" max="11" width="14" bestFit="1" customWidth="1"/>
    <col min="12" max="12" width="9.83203125" bestFit="1" customWidth="1"/>
    <col min="13" max="13" width="14.5" bestFit="1" customWidth="1"/>
  </cols>
  <sheetData>
    <row r="1" spans="1:13" ht="2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20" customHeight="1" x14ac:dyDescent="0.2">
      <c r="A2" s="61" t="s">
        <v>47</v>
      </c>
      <c r="B2" s="60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</row>
    <row r="3" spans="1:13" ht="20" customHeight="1" x14ac:dyDescent="0.2">
      <c r="A3" s="60" t="s">
        <v>14</v>
      </c>
      <c r="B3" s="74">
        <v>185000</v>
      </c>
      <c r="C3" s="68">
        <v>0</v>
      </c>
      <c r="D3" s="75">
        <v>123250</v>
      </c>
      <c r="E3" s="69">
        <v>0</v>
      </c>
      <c r="F3" s="74">
        <v>70000</v>
      </c>
      <c r="G3" s="68">
        <v>0</v>
      </c>
      <c r="H3" s="74">
        <v>67000</v>
      </c>
      <c r="I3" s="68">
        <v>0</v>
      </c>
      <c r="J3" s="74">
        <v>32000</v>
      </c>
      <c r="K3" s="70">
        <v>0</v>
      </c>
      <c r="L3" s="74">
        <v>23900</v>
      </c>
      <c r="M3" s="70">
        <v>0</v>
      </c>
    </row>
    <row r="4" spans="1:13" ht="20" customHeight="1" x14ac:dyDescent="0.2">
      <c r="A4" s="60" t="s">
        <v>15</v>
      </c>
      <c r="B4" s="68">
        <v>0</v>
      </c>
      <c r="C4" s="74">
        <v>51000</v>
      </c>
      <c r="D4" s="69">
        <v>0</v>
      </c>
      <c r="E4" s="75">
        <v>35700</v>
      </c>
      <c r="F4" s="68">
        <v>0</v>
      </c>
      <c r="G4" s="74">
        <v>12750</v>
      </c>
      <c r="H4" s="68">
        <v>0</v>
      </c>
      <c r="I4" s="74">
        <v>12750</v>
      </c>
      <c r="J4" s="68">
        <v>0</v>
      </c>
      <c r="K4" s="76">
        <v>10625</v>
      </c>
      <c r="L4" s="68">
        <v>0</v>
      </c>
      <c r="M4" s="76">
        <v>7225</v>
      </c>
    </row>
    <row r="5" spans="1:13" ht="20" customHeight="1" x14ac:dyDescent="0.2">
      <c r="A5" s="60" t="s">
        <v>16</v>
      </c>
      <c r="B5" s="68">
        <f>17940*1</f>
        <v>17940</v>
      </c>
      <c r="C5" s="68">
        <f t="shared" ref="C5:H5" si="0">17940*1</f>
        <v>17940</v>
      </c>
      <c r="D5" s="68">
        <f t="shared" si="0"/>
        <v>17940</v>
      </c>
      <c r="E5" s="68">
        <f t="shared" si="0"/>
        <v>17940</v>
      </c>
      <c r="F5" s="68">
        <f t="shared" si="0"/>
        <v>17940</v>
      </c>
      <c r="G5" s="68">
        <f t="shared" si="0"/>
        <v>17940</v>
      </c>
      <c r="H5" s="68">
        <f t="shared" si="0"/>
        <v>17940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</row>
    <row r="6" spans="1:13" ht="20" customHeight="1" x14ac:dyDescent="0.2">
      <c r="A6" s="60" t="s">
        <v>17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f>4637*1</f>
        <v>4637</v>
      </c>
      <c r="J6" s="68">
        <f t="shared" ref="J6:M6" si="1">4637*1</f>
        <v>4637</v>
      </c>
      <c r="K6" s="68">
        <f t="shared" si="1"/>
        <v>4637</v>
      </c>
      <c r="L6" s="68">
        <f t="shared" si="1"/>
        <v>4637</v>
      </c>
      <c r="M6" s="68">
        <f t="shared" si="1"/>
        <v>4637</v>
      </c>
    </row>
    <row r="7" spans="1:13" ht="20" customHeight="1" x14ac:dyDescent="0.2">
      <c r="A7" s="60" t="s">
        <v>18</v>
      </c>
      <c r="B7" s="68">
        <v>0</v>
      </c>
      <c r="C7" s="68">
        <v>0</v>
      </c>
      <c r="D7" s="69">
        <v>0</v>
      </c>
      <c r="E7" s="69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</row>
    <row r="8" spans="1:13" ht="20" customHeight="1" x14ac:dyDescent="0.2">
      <c r="A8" s="60" t="s">
        <v>173</v>
      </c>
      <c r="B8" s="74">
        <f>18500*4</f>
        <v>74000</v>
      </c>
      <c r="C8" s="74">
        <f t="shared" ref="C8:E8" si="2">18500*4</f>
        <v>74000</v>
      </c>
      <c r="D8" s="74">
        <f t="shared" si="2"/>
        <v>74000</v>
      </c>
      <c r="E8" s="74">
        <f t="shared" si="2"/>
        <v>74000</v>
      </c>
      <c r="F8" s="74">
        <f>18500*2</f>
        <v>37000</v>
      </c>
      <c r="G8" s="74">
        <f t="shared" ref="G8:I8" si="3">18500*2</f>
        <v>37000</v>
      </c>
      <c r="H8" s="74">
        <f t="shared" si="3"/>
        <v>37000</v>
      </c>
      <c r="I8" s="74">
        <f t="shared" si="3"/>
        <v>37000</v>
      </c>
      <c r="J8" s="74">
        <f>18500*1</f>
        <v>18500</v>
      </c>
      <c r="K8" s="74">
        <f t="shared" ref="K8:M8" si="4">18500*1</f>
        <v>18500</v>
      </c>
      <c r="L8" s="74">
        <f t="shared" si="4"/>
        <v>18500</v>
      </c>
      <c r="M8" s="74">
        <f t="shared" si="4"/>
        <v>18500</v>
      </c>
    </row>
    <row r="9" spans="1:13" ht="20" customHeight="1" x14ac:dyDescent="0.2">
      <c r="A9" s="60" t="s">
        <v>19</v>
      </c>
      <c r="B9" s="74">
        <v>38250</v>
      </c>
      <c r="C9" s="68">
        <v>0</v>
      </c>
      <c r="D9" s="75">
        <v>26775</v>
      </c>
      <c r="E9" s="69">
        <v>0</v>
      </c>
      <c r="F9" s="74">
        <v>26775</v>
      </c>
      <c r="G9" s="68">
        <v>0</v>
      </c>
      <c r="H9" s="74">
        <v>11475</v>
      </c>
      <c r="I9" s="68">
        <v>0</v>
      </c>
      <c r="J9" s="74">
        <v>7650</v>
      </c>
      <c r="K9" s="68">
        <v>0</v>
      </c>
      <c r="L9" s="74">
        <v>3825</v>
      </c>
      <c r="M9" s="68">
        <v>0</v>
      </c>
    </row>
    <row r="10" spans="1:13" ht="20" customHeight="1" x14ac:dyDescent="0.2">
      <c r="A10" s="60" t="s">
        <v>20</v>
      </c>
      <c r="B10" s="68">
        <f>3560*2</f>
        <v>7120</v>
      </c>
      <c r="C10" s="68">
        <v>0</v>
      </c>
      <c r="D10" s="69">
        <f>3560*2</f>
        <v>7120</v>
      </c>
      <c r="E10" s="69">
        <v>0</v>
      </c>
      <c r="F10" s="68">
        <f>3560*2</f>
        <v>7120</v>
      </c>
      <c r="G10" s="68">
        <v>0</v>
      </c>
      <c r="H10" s="68">
        <f>3560*1</f>
        <v>3560</v>
      </c>
      <c r="I10" s="68">
        <v>0</v>
      </c>
      <c r="J10" s="68">
        <f>3560*1</f>
        <v>3560</v>
      </c>
      <c r="K10" s="68">
        <v>0</v>
      </c>
      <c r="L10" s="68">
        <f>3560*1</f>
        <v>3560</v>
      </c>
      <c r="M10" s="68"/>
    </row>
    <row r="11" spans="1:13" ht="20" customHeight="1" x14ac:dyDescent="0.2">
      <c r="A11" s="60" t="s">
        <v>21</v>
      </c>
      <c r="B11" s="74">
        <f>2575*23</f>
        <v>59225</v>
      </c>
      <c r="C11" s="74">
        <f>2575*23</f>
        <v>59225</v>
      </c>
      <c r="D11" s="75">
        <f>2575*14</f>
        <v>36050</v>
      </c>
      <c r="E11" s="75">
        <f>2575*14</f>
        <v>36050</v>
      </c>
      <c r="F11" s="74">
        <f>2575*11</f>
        <v>28325</v>
      </c>
      <c r="G11" s="74">
        <f>2575*11</f>
        <v>28325</v>
      </c>
      <c r="H11" s="74">
        <f>2575*4</f>
        <v>10300</v>
      </c>
      <c r="I11" s="74">
        <f>2575*4</f>
        <v>10300</v>
      </c>
      <c r="J11" s="74">
        <f>2575*3</f>
        <v>7725</v>
      </c>
      <c r="K11" s="74">
        <f>2575*3</f>
        <v>7725</v>
      </c>
      <c r="L11" s="74">
        <f>2575*1</f>
        <v>2575</v>
      </c>
      <c r="M11" s="74">
        <f>2575*1</f>
        <v>2575</v>
      </c>
    </row>
    <row r="12" spans="1:13" ht="20" customHeight="1" x14ac:dyDescent="0.2">
      <c r="A12" s="60" t="s">
        <v>165</v>
      </c>
      <c r="B12" s="74">
        <f>3316*23</f>
        <v>76268</v>
      </c>
      <c r="C12" s="74">
        <f>3316*23</f>
        <v>76268</v>
      </c>
      <c r="D12" s="74">
        <f>3316*14</f>
        <v>46424</v>
      </c>
      <c r="E12" s="74">
        <f>3316*14</f>
        <v>46424</v>
      </c>
      <c r="F12" s="74">
        <f>3316*11</f>
        <v>36476</v>
      </c>
      <c r="G12" s="74">
        <f>3316*11</f>
        <v>36476</v>
      </c>
      <c r="H12" s="74">
        <f>3316*4</f>
        <v>13264</v>
      </c>
      <c r="I12" s="74">
        <f>3316*4</f>
        <v>13264</v>
      </c>
      <c r="J12" s="74">
        <f>3316*3</f>
        <v>9948</v>
      </c>
      <c r="K12" s="74">
        <f>3316*3</f>
        <v>9948</v>
      </c>
      <c r="L12" s="72">
        <f t="shared" ref="L12:M12" si="5">3316*1</f>
        <v>3316</v>
      </c>
      <c r="M12" s="72">
        <f t="shared" si="5"/>
        <v>3316</v>
      </c>
    </row>
    <row r="13" spans="1:13" ht="20" customHeight="1" x14ac:dyDescent="0.2">
      <c r="A13" s="60" t="s">
        <v>22</v>
      </c>
      <c r="B13" s="74">
        <f>15640+18755+87500</f>
        <v>121895</v>
      </c>
      <c r="C13" s="74">
        <v>103610</v>
      </c>
      <c r="D13" s="75">
        <f>15640+18755+43750</f>
        <v>78145</v>
      </c>
      <c r="E13" s="75">
        <v>66423</v>
      </c>
      <c r="F13" s="74">
        <f>5235+7820+22500</f>
        <v>35555</v>
      </c>
      <c r="G13" s="74">
        <v>30221</v>
      </c>
      <c r="H13" s="74">
        <f>3140+7820+13750</f>
        <v>24710</v>
      </c>
      <c r="I13" s="74">
        <v>21003</v>
      </c>
      <c r="J13" s="74">
        <f>3140+7820+6964</f>
        <v>17924</v>
      </c>
      <c r="K13" s="74">
        <v>15235</v>
      </c>
      <c r="L13" s="74">
        <f>3140+7820+5144</f>
        <v>16104</v>
      </c>
      <c r="M13" s="74">
        <v>13688</v>
      </c>
    </row>
    <row r="14" spans="1:13" ht="20" customHeight="1" x14ac:dyDescent="0.2">
      <c r="A14" s="61" t="s">
        <v>23</v>
      </c>
      <c r="B14" s="73">
        <f t="shared" ref="B14:M14" si="6">SUM(B3:B13)</f>
        <v>579698</v>
      </c>
      <c r="C14" s="73">
        <f t="shared" si="6"/>
        <v>382043</v>
      </c>
      <c r="D14" s="73">
        <f t="shared" si="6"/>
        <v>409704</v>
      </c>
      <c r="E14" s="73">
        <f t="shared" si="6"/>
        <v>276537</v>
      </c>
      <c r="F14" s="73">
        <f t="shared" si="6"/>
        <v>259191</v>
      </c>
      <c r="G14" s="73">
        <f t="shared" si="6"/>
        <v>162712</v>
      </c>
      <c r="H14" s="73">
        <f t="shared" si="6"/>
        <v>185249</v>
      </c>
      <c r="I14" s="73">
        <f t="shared" si="6"/>
        <v>98954</v>
      </c>
      <c r="J14" s="73">
        <f t="shared" si="6"/>
        <v>101944</v>
      </c>
      <c r="K14" s="73">
        <f t="shared" si="6"/>
        <v>66670</v>
      </c>
      <c r="L14" s="73">
        <f t="shared" si="6"/>
        <v>76417</v>
      </c>
      <c r="M14" s="73">
        <f t="shared" si="6"/>
        <v>49941</v>
      </c>
    </row>
    <row r="15" spans="1:13" ht="20" customHeight="1" x14ac:dyDescent="0.2">
      <c r="A15" s="61"/>
      <c r="B15" s="71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ht="20" customHeight="1" x14ac:dyDescent="0.2">
      <c r="A16" s="61" t="s">
        <v>24</v>
      </c>
      <c r="B16" s="71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20" customHeight="1" x14ac:dyDescent="0.2">
      <c r="A17" s="60" t="s">
        <v>25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 ht="20" customHeight="1" x14ac:dyDescent="0.2">
      <c r="A18" s="60" t="s">
        <v>26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 ht="20" customHeight="1" x14ac:dyDescent="0.2">
      <c r="A19" s="60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 ht="20" customHeight="1" x14ac:dyDescent="0.2">
      <c r="A20" s="61" t="s">
        <v>27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0" customHeight="1" x14ac:dyDescent="0.2">
      <c r="A21" s="65" t="s">
        <v>28</v>
      </c>
      <c r="B21" s="68">
        <f>50000*1</f>
        <v>50000</v>
      </c>
      <c r="C21" s="68">
        <f>12000*1</f>
        <v>12000</v>
      </c>
      <c r="D21" s="68">
        <f>34000*1</f>
        <v>34000</v>
      </c>
      <c r="E21" s="68">
        <f>8400*1</f>
        <v>8400</v>
      </c>
      <c r="F21" s="68">
        <f>20000*1</f>
        <v>20000</v>
      </c>
      <c r="G21" s="68">
        <f>3000*1</f>
        <v>3000</v>
      </c>
      <c r="H21" s="68">
        <f>20000*1</f>
        <v>20000</v>
      </c>
      <c r="I21" s="68">
        <f>3000*1</f>
        <v>3000</v>
      </c>
      <c r="J21" s="68">
        <f>10000*1</f>
        <v>10000</v>
      </c>
      <c r="K21" s="68">
        <v>2500</v>
      </c>
      <c r="L21" s="68">
        <f>8000*1</f>
        <v>8000</v>
      </c>
      <c r="M21" s="68">
        <f>1700*1</f>
        <v>1700</v>
      </c>
    </row>
    <row r="22" spans="1:13" ht="20" customHeight="1" x14ac:dyDescent="0.2">
      <c r="A22" s="65" t="s">
        <v>29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</row>
    <row r="23" spans="1:13" ht="20" customHeight="1" x14ac:dyDescent="0.2">
      <c r="A23" s="66" t="s">
        <v>30</v>
      </c>
      <c r="B23" s="68">
        <f>2575*4</f>
        <v>10300</v>
      </c>
      <c r="C23" s="68">
        <f>2575*4</f>
        <v>10300</v>
      </c>
      <c r="D23" s="68">
        <f>2575*4</f>
        <v>10300</v>
      </c>
      <c r="E23" s="68">
        <f>2575*4</f>
        <v>10300</v>
      </c>
      <c r="F23" s="68">
        <f>2575*2</f>
        <v>5150</v>
      </c>
      <c r="G23" s="68">
        <f>2575*2</f>
        <v>5150</v>
      </c>
      <c r="H23" s="68">
        <f>2575*2</f>
        <v>5150</v>
      </c>
      <c r="I23" s="68">
        <f>2575*2</f>
        <v>5150</v>
      </c>
      <c r="J23" s="68">
        <f>2575*1</f>
        <v>2575</v>
      </c>
      <c r="K23" s="68">
        <f t="shared" ref="K23:M23" si="7">2575*1</f>
        <v>2575</v>
      </c>
      <c r="L23" s="68">
        <f t="shared" si="7"/>
        <v>2575</v>
      </c>
      <c r="M23" s="68">
        <f t="shared" si="7"/>
        <v>2575</v>
      </c>
    </row>
    <row r="24" spans="1:13" ht="20" customHeight="1" x14ac:dyDescent="0.2">
      <c r="A24" s="65" t="s">
        <v>31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</row>
    <row r="25" spans="1:13" ht="20" customHeight="1" x14ac:dyDescent="0.2">
      <c r="A25" s="65" t="s">
        <v>32</v>
      </c>
      <c r="B25" s="68">
        <f>10000*1</f>
        <v>10000</v>
      </c>
      <c r="C25" s="68">
        <v>0</v>
      </c>
      <c r="D25" s="68">
        <f>7000*1</f>
        <v>7000</v>
      </c>
      <c r="E25" s="68">
        <v>0</v>
      </c>
      <c r="F25" s="68">
        <f>7000*1</f>
        <v>7000</v>
      </c>
      <c r="G25" s="68">
        <v>0</v>
      </c>
      <c r="H25" s="68">
        <f>3000*1</f>
        <v>3000</v>
      </c>
      <c r="I25" s="68">
        <v>0</v>
      </c>
      <c r="J25" s="68">
        <f>2000*1</f>
        <v>2000</v>
      </c>
      <c r="K25" s="68">
        <v>0</v>
      </c>
      <c r="L25" s="68">
        <f>1000*1</f>
        <v>1000</v>
      </c>
      <c r="M25" s="68">
        <v>0</v>
      </c>
    </row>
    <row r="26" spans="1:13" ht="20" customHeight="1" x14ac:dyDescent="0.2">
      <c r="A26" s="65" t="s">
        <v>33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</row>
    <row r="27" spans="1:13" ht="20" customHeight="1" x14ac:dyDescent="0.2">
      <c r="A27" s="65" t="s">
        <v>34</v>
      </c>
      <c r="B27" s="68">
        <f>125*23</f>
        <v>2875</v>
      </c>
      <c r="C27" s="68">
        <f>125*23</f>
        <v>2875</v>
      </c>
      <c r="D27" s="68">
        <f>125*14</f>
        <v>1750</v>
      </c>
      <c r="E27" s="68">
        <f>125*14</f>
        <v>1750</v>
      </c>
      <c r="F27" s="68">
        <f>125*11</f>
        <v>1375</v>
      </c>
      <c r="G27" s="68">
        <f>125*11</f>
        <v>1375</v>
      </c>
      <c r="H27" s="68">
        <f>125*4</f>
        <v>500</v>
      </c>
      <c r="I27" s="68">
        <f>125*4</f>
        <v>500</v>
      </c>
      <c r="J27" s="68">
        <f>125*3</f>
        <v>375</v>
      </c>
      <c r="K27" s="68">
        <f>125*3</f>
        <v>375</v>
      </c>
      <c r="L27" s="68">
        <f>125*1</f>
        <v>125</v>
      </c>
      <c r="M27" s="68">
        <f>125*1</f>
        <v>125</v>
      </c>
    </row>
    <row r="28" spans="1:13" ht="20" customHeight="1" x14ac:dyDescent="0.2">
      <c r="A28" s="65" t="s">
        <v>35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</row>
    <row r="29" spans="1:13" ht="20" customHeight="1" x14ac:dyDescent="0.2">
      <c r="A29" s="61" t="s">
        <v>36</v>
      </c>
      <c r="B29" s="64">
        <f t="shared" ref="B29:M29" si="8">SUM(B21:B28)</f>
        <v>73175</v>
      </c>
      <c r="C29" s="64">
        <f t="shared" si="8"/>
        <v>25175</v>
      </c>
      <c r="D29" s="64">
        <f t="shared" si="8"/>
        <v>53050</v>
      </c>
      <c r="E29" s="64">
        <f t="shared" si="8"/>
        <v>20450</v>
      </c>
      <c r="F29" s="64">
        <f t="shared" si="8"/>
        <v>33525</v>
      </c>
      <c r="G29" s="64">
        <f t="shared" si="8"/>
        <v>9525</v>
      </c>
      <c r="H29" s="64">
        <f t="shared" si="8"/>
        <v>28650</v>
      </c>
      <c r="I29" s="64">
        <f t="shared" si="8"/>
        <v>8650</v>
      </c>
      <c r="J29" s="64">
        <f t="shared" si="8"/>
        <v>14950</v>
      </c>
      <c r="K29" s="64">
        <f t="shared" si="8"/>
        <v>5450</v>
      </c>
      <c r="L29" s="64">
        <f t="shared" si="8"/>
        <v>11700</v>
      </c>
      <c r="M29" s="64">
        <f t="shared" si="8"/>
        <v>4400</v>
      </c>
    </row>
    <row r="30" spans="1:13" ht="20" customHeight="1" x14ac:dyDescent="0.2">
      <c r="A30" s="60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20" customHeight="1" x14ac:dyDescent="0.2">
      <c r="A31" s="61" t="s">
        <v>37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 ht="20" customHeight="1" x14ac:dyDescent="0.2">
      <c r="A32" s="61" t="s">
        <v>38</v>
      </c>
      <c r="B32" s="64">
        <f t="shared" ref="B32:M32" si="9">B14+(B29*9)</f>
        <v>1238273</v>
      </c>
      <c r="C32" s="64">
        <f t="shared" si="9"/>
        <v>608618</v>
      </c>
      <c r="D32" s="64">
        <f t="shared" si="9"/>
        <v>887154</v>
      </c>
      <c r="E32" s="64">
        <f t="shared" si="9"/>
        <v>460587</v>
      </c>
      <c r="F32" s="64">
        <f t="shared" si="9"/>
        <v>560916</v>
      </c>
      <c r="G32" s="64">
        <f t="shared" si="9"/>
        <v>248437</v>
      </c>
      <c r="H32" s="64">
        <f t="shared" si="9"/>
        <v>443099</v>
      </c>
      <c r="I32" s="64">
        <f t="shared" si="9"/>
        <v>176804</v>
      </c>
      <c r="J32" s="64">
        <f t="shared" si="9"/>
        <v>236494</v>
      </c>
      <c r="K32" s="64">
        <f t="shared" si="9"/>
        <v>115720</v>
      </c>
      <c r="L32" s="64">
        <f t="shared" si="9"/>
        <v>181717</v>
      </c>
      <c r="M32" s="64">
        <f t="shared" si="9"/>
        <v>89541</v>
      </c>
    </row>
    <row r="33" spans="1:13" ht="20" customHeight="1" x14ac:dyDescent="0.2">
      <c r="A33" s="61" t="s">
        <v>39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1:13" ht="20" customHeight="1" x14ac:dyDescent="0.2">
      <c r="A34" s="61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20" customHeight="1" x14ac:dyDescent="0.2">
      <c r="A35" s="61" t="s">
        <v>40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20" customHeight="1" x14ac:dyDescent="0.2">
      <c r="A36" s="67" t="s">
        <v>41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3" ht="20" customHeight="1" x14ac:dyDescent="0.2">
      <c r="A37" s="67" t="s">
        <v>42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3" ht="20" customHeight="1" x14ac:dyDescent="0.2">
      <c r="A38" s="67" t="s">
        <v>43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3" ht="20" customHeight="1" x14ac:dyDescent="0.2">
      <c r="A39" s="67" t="s">
        <v>44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ht="20" customHeight="1" x14ac:dyDescent="0.2">
      <c r="A40" s="67" t="s">
        <v>45</v>
      </c>
      <c r="B40" s="63">
        <v>10000</v>
      </c>
      <c r="C40" s="63"/>
      <c r="D40" s="63">
        <v>6500</v>
      </c>
      <c r="E40" s="63"/>
      <c r="F40" s="63">
        <v>6500</v>
      </c>
      <c r="G40" s="60"/>
      <c r="H40" s="63">
        <v>3000</v>
      </c>
      <c r="I40" s="63"/>
      <c r="J40" s="63">
        <v>2500</v>
      </c>
      <c r="K40" s="63"/>
      <c r="L40" s="63">
        <v>2000</v>
      </c>
      <c r="M40" s="60"/>
    </row>
    <row r="41" spans="1:13" ht="20" customHeight="1" x14ac:dyDescent="0.2">
      <c r="A41" s="67" t="s">
        <v>46</v>
      </c>
      <c r="B41" s="63">
        <v>2000</v>
      </c>
      <c r="C41" s="63"/>
      <c r="D41" s="63">
        <v>1300</v>
      </c>
      <c r="E41" s="63"/>
      <c r="F41" s="63">
        <v>1300</v>
      </c>
      <c r="G41" s="63"/>
      <c r="H41" s="63">
        <v>600</v>
      </c>
      <c r="I41" s="63"/>
      <c r="J41" s="63">
        <v>500</v>
      </c>
      <c r="K41" s="63"/>
      <c r="L41" s="63">
        <v>400</v>
      </c>
      <c r="M41" s="63"/>
    </row>
    <row r="42" spans="1:13" ht="16" x14ac:dyDescent="0.2">
      <c r="A42" s="77" t="s">
        <v>164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</sheetData>
  <printOptions gridLines="1"/>
  <pageMargins left="0.7" right="0.7" top="0.75" bottom="0.75" header="0.3" footer="0.3"/>
  <pageSetup paperSize="17" scale="67" orientation="landscape" horizontalDpi="200" verticalDpi="200" r:id="rId1"/>
  <headerFooter>
    <oddFooter>&amp;L&amp;F&amp;CPage &amp;P of &amp;N&amp;RFinal Version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6"/>
  <sheetViews>
    <sheetView workbookViewId="0">
      <pane ySplit="1" topLeftCell="A35" activePane="bottomLeft" state="frozen"/>
      <selection pane="bottomLeft" activeCell="A25" sqref="A25"/>
    </sheetView>
  </sheetViews>
  <sheetFormatPr baseColWidth="10" defaultColWidth="8.83203125" defaultRowHeight="15" x14ac:dyDescent="0.2"/>
  <cols>
    <col min="1" max="1" width="151.33203125" bestFit="1" customWidth="1"/>
    <col min="2" max="2" width="11.5" bestFit="1" customWidth="1"/>
    <col min="3" max="3" width="15.5" bestFit="1" customWidth="1"/>
    <col min="4" max="4" width="11.5" bestFit="1" customWidth="1"/>
    <col min="5" max="5" width="15.5" bestFit="1" customWidth="1"/>
    <col min="6" max="6" width="11.5" bestFit="1" customWidth="1"/>
    <col min="7" max="7" width="15.5" bestFit="1" customWidth="1"/>
    <col min="8" max="8" width="11.5" bestFit="1" customWidth="1"/>
    <col min="9" max="9" width="15.5" bestFit="1" customWidth="1"/>
    <col min="10" max="10" width="11.1640625" bestFit="1" customWidth="1"/>
    <col min="11" max="11" width="14" bestFit="1" customWidth="1"/>
    <col min="12" max="12" width="11.1640625" bestFit="1" customWidth="1"/>
    <col min="13" max="13" width="14.5" bestFit="1" customWidth="1"/>
  </cols>
  <sheetData>
    <row r="1" spans="1:13" ht="20" customHeight="1" x14ac:dyDescent="0.25">
      <c r="A1" s="1" t="s">
        <v>118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20" customHeight="1" x14ac:dyDescent="0.2">
      <c r="A2" s="84" t="s">
        <v>13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20" customHeight="1" x14ac:dyDescent="0.2">
      <c r="A3" s="87" t="s">
        <v>119</v>
      </c>
      <c r="B3" s="88">
        <v>21365</v>
      </c>
      <c r="C3" s="85">
        <v>0</v>
      </c>
      <c r="D3" s="88">
        <v>21365</v>
      </c>
      <c r="E3" s="88">
        <v>0</v>
      </c>
      <c r="F3" s="88">
        <v>21365</v>
      </c>
      <c r="G3" s="88">
        <v>0</v>
      </c>
      <c r="H3" s="88">
        <v>21365</v>
      </c>
      <c r="I3" s="88">
        <v>0</v>
      </c>
      <c r="J3" s="88">
        <v>21365</v>
      </c>
      <c r="K3" s="89">
        <v>0</v>
      </c>
      <c r="L3" s="88">
        <v>21365</v>
      </c>
      <c r="M3" s="89">
        <v>0</v>
      </c>
    </row>
    <row r="4" spans="1:13" ht="20" customHeight="1" x14ac:dyDescent="0.2">
      <c r="A4" s="87" t="s">
        <v>120</v>
      </c>
      <c r="B4" s="88">
        <v>0</v>
      </c>
      <c r="C4" s="85">
        <f>4200*1</f>
        <v>4200</v>
      </c>
      <c r="D4" s="88">
        <v>0</v>
      </c>
      <c r="E4" s="85">
        <f>4200*1</f>
        <v>4200</v>
      </c>
      <c r="F4" s="88">
        <v>0</v>
      </c>
      <c r="G4" s="85">
        <f>4200*1</f>
        <v>4200</v>
      </c>
      <c r="H4" s="88"/>
      <c r="I4" s="85">
        <f>4200*1</f>
        <v>4200</v>
      </c>
      <c r="J4" s="88"/>
      <c r="K4" s="85">
        <f>4200*1</f>
        <v>4200</v>
      </c>
      <c r="L4" s="88"/>
      <c r="M4" s="85">
        <f>4200*1</f>
        <v>4200</v>
      </c>
    </row>
    <row r="5" spans="1:13" ht="20" customHeight="1" x14ac:dyDescent="0.2">
      <c r="A5" s="87" t="s">
        <v>121</v>
      </c>
      <c r="B5" s="88">
        <v>6400</v>
      </c>
      <c r="C5" s="85">
        <v>0</v>
      </c>
      <c r="D5" s="88">
        <v>6400</v>
      </c>
      <c r="E5" s="88">
        <v>0</v>
      </c>
      <c r="F5" s="88">
        <v>6400</v>
      </c>
      <c r="G5" s="88">
        <v>0</v>
      </c>
      <c r="H5" s="88">
        <v>6400</v>
      </c>
      <c r="I5" s="88">
        <v>0</v>
      </c>
      <c r="J5" s="88">
        <v>6400</v>
      </c>
      <c r="K5" s="88">
        <v>0</v>
      </c>
      <c r="L5" s="88">
        <v>6400</v>
      </c>
      <c r="M5" s="88">
        <v>0</v>
      </c>
    </row>
    <row r="6" spans="1:13" ht="20" customHeight="1" x14ac:dyDescent="0.2">
      <c r="A6" s="90" t="s">
        <v>122</v>
      </c>
      <c r="B6" s="88">
        <v>60</v>
      </c>
      <c r="C6" s="85"/>
      <c r="D6" s="88">
        <v>60</v>
      </c>
      <c r="E6" s="88"/>
      <c r="F6" s="88">
        <v>60</v>
      </c>
      <c r="G6" s="88"/>
      <c r="H6" s="88">
        <v>60</v>
      </c>
      <c r="I6" s="88"/>
      <c r="J6" s="88">
        <v>60</v>
      </c>
      <c r="K6" s="88"/>
      <c r="L6" s="88">
        <v>60</v>
      </c>
      <c r="M6" s="88"/>
    </row>
    <row r="7" spans="1:13" ht="20" customHeight="1" x14ac:dyDescent="0.2">
      <c r="A7" s="87" t="s">
        <v>123</v>
      </c>
      <c r="B7" s="88">
        <f>1440*2</f>
        <v>2880</v>
      </c>
      <c r="C7" s="88">
        <f>1440*1</f>
        <v>1440</v>
      </c>
      <c r="D7" s="88">
        <f>1440*2</f>
        <v>2880</v>
      </c>
      <c r="E7" s="88">
        <f>1440*1</f>
        <v>1440</v>
      </c>
      <c r="F7" s="88">
        <f>1440*2</f>
        <v>2880</v>
      </c>
      <c r="G7" s="88">
        <f t="shared" ref="G7:M7" si="0">1440*1</f>
        <v>1440</v>
      </c>
      <c r="H7" s="88">
        <v>2880</v>
      </c>
      <c r="I7" s="88">
        <f t="shared" si="0"/>
        <v>1440</v>
      </c>
      <c r="J7" s="88">
        <v>2880</v>
      </c>
      <c r="K7" s="88">
        <f t="shared" si="0"/>
        <v>1440</v>
      </c>
      <c r="L7" s="88">
        <v>2880</v>
      </c>
      <c r="M7" s="88">
        <f t="shared" si="0"/>
        <v>1440</v>
      </c>
    </row>
    <row r="8" spans="1:13" ht="20" customHeight="1" x14ac:dyDescent="0.2">
      <c r="A8" s="87" t="s">
        <v>124</v>
      </c>
      <c r="B8" s="88">
        <f>95000*1</f>
        <v>95000</v>
      </c>
      <c r="C8" s="88">
        <f>95000*1</f>
        <v>95000</v>
      </c>
      <c r="D8" s="85">
        <v>0</v>
      </c>
      <c r="E8" s="88">
        <v>0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</row>
    <row r="9" spans="1:13" ht="20" customHeight="1" x14ac:dyDescent="0.2">
      <c r="A9" s="87" t="s">
        <v>125</v>
      </c>
      <c r="B9" s="88">
        <v>0</v>
      </c>
      <c r="C9" s="85">
        <v>0</v>
      </c>
      <c r="D9" s="88">
        <f t="shared" ref="D9:I9" si="1">41300*1</f>
        <v>41300</v>
      </c>
      <c r="E9" s="88">
        <f t="shared" si="1"/>
        <v>41300</v>
      </c>
      <c r="F9" s="88">
        <f t="shared" si="1"/>
        <v>41300</v>
      </c>
      <c r="G9" s="88">
        <f t="shared" si="1"/>
        <v>41300</v>
      </c>
      <c r="H9" s="88">
        <f t="shared" si="1"/>
        <v>41300</v>
      </c>
      <c r="I9" s="88">
        <f t="shared" si="1"/>
        <v>41300</v>
      </c>
      <c r="J9" s="88">
        <v>0</v>
      </c>
      <c r="K9" s="88">
        <v>0</v>
      </c>
      <c r="L9" s="88">
        <v>0</v>
      </c>
      <c r="M9" s="88">
        <v>0</v>
      </c>
    </row>
    <row r="10" spans="1:13" ht="20" customHeight="1" x14ac:dyDescent="0.2">
      <c r="A10" s="87" t="s">
        <v>126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f>5522*1</f>
        <v>5522</v>
      </c>
      <c r="K10" s="88">
        <f t="shared" ref="K10:M10" si="2">5522*1</f>
        <v>5522</v>
      </c>
      <c r="L10" s="88">
        <f t="shared" si="2"/>
        <v>5522</v>
      </c>
      <c r="M10" s="88">
        <f t="shared" si="2"/>
        <v>5522</v>
      </c>
    </row>
    <row r="11" spans="1:13" ht="20" customHeight="1" x14ac:dyDescent="0.2">
      <c r="A11" s="87" t="s">
        <v>127</v>
      </c>
      <c r="B11" s="88">
        <f>3050*1</f>
        <v>3050</v>
      </c>
      <c r="C11" s="88">
        <f t="shared" ref="C11:M11" si="3">3050*1</f>
        <v>3050</v>
      </c>
      <c r="D11" s="88">
        <f t="shared" si="3"/>
        <v>3050</v>
      </c>
      <c r="E11" s="88">
        <f t="shared" si="3"/>
        <v>3050</v>
      </c>
      <c r="F11" s="88">
        <f t="shared" si="3"/>
        <v>3050</v>
      </c>
      <c r="G11" s="88">
        <f t="shared" si="3"/>
        <v>3050</v>
      </c>
      <c r="H11" s="88">
        <f t="shared" si="3"/>
        <v>3050</v>
      </c>
      <c r="I11" s="88">
        <f t="shared" si="3"/>
        <v>3050</v>
      </c>
      <c r="J11" s="88">
        <f t="shared" si="3"/>
        <v>3050</v>
      </c>
      <c r="K11" s="88">
        <f t="shared" si="3"/>
        <v>3050</v>
      </c>
      <c r="L11" s="88">
        <f t="shared" si="3"/>
        <v>3050</v>
      </c>
      <c r="M11" s="88">
        <f t="shared" si="3"/>
        <v>3050</v>
      </c>
    </row>
    <row r="12" spans="1:13" ht="20" customHeight="1" x14ac:dyDescent="0.2">
      <c r="A12" s="87" t="s">
        <v>167</v>
      </c>
      <c r="B12" s="88">
        <f>2920*23</f>
        <v>67160</v>
      </c>
      <c r="C12" s="88">
        <f>2920*23</f>
        <v>67160</v>
      </c>
      <c r="D12" s="88">
        <f>2920*14</f>
        <v>40880</v>
      </c>
      <c r="E12" s="88">
        <f>2920*14</f>
        <v>40880</v>
      </c>
      <c r="F12" s="88">
        <f>2920*11</f>
        <v>32120</v>
      </c>
      <c r="G12" s="88">
        <f>2920*11</f>
        <v>32120</v>
      </c>
      <c r="H12" s="88">
        <f>2920*4</f>
        <v>11680</v>
      </c>
      <c r="I12" s="88">
        <f>2920*4</f>
        <v>11680</v>
      </c>
      <c r="J12" s="88">
        <f>2920*3</f>
        <v>8760</v>
      </c>
      <c r="K12" s="88">
        <f>2920*3</f>
        <v>8760</v>
      </c>
      <c r="L12" s="88">
        <f>2920.1</f>
        <v>2920.1</v>
      </c>
      <c r="M12" s="88">
        <f>2920.1</f>
        <v>2920.1</v>
      </c>
    </row>
    <row r="13" spans="1:13" ht="20" customHeight="1" x14ac:dyDescent="0.2">
      <c r="A13" s="87" t="s">
        <v>128</v>
      </c>
      <c r="B13" s="88">
        <f>725*23</f>
        <v>16675</v>
      </c>
      <c r="C13" s="88">
        <f>725*23</f>
        <v>16675</v>
      </c>
      <c r="D13" s="88">
        <f>725*14</f>
        <v>10150</v>
      </c>
      <c r="E13" s="88">
        <f>725*14</f>
        <v>10150</v>
      </c>
      <c r="F13" s="88">
        <f>725*11</f>
        <v>7975</v>
      </c>
      <c r="G13" s="88">
        <f>725*11</f>
        <v>7975</v>
      </c>
      <c r="H13" s="88">
        <f>725*4</f>
        <v>2900</v>
      </c>
      <c r="I13" s="88">
        <f>725*4</f>
        <v>2900</v>
      </c>
      <c r="J13" s="88">
        <f>725*3</f>
        <v>2175</v>
      </c>
      <c r="K13" s="88">
        <f>725*3</f>
        <v>2175</v>
      </c>
      <c r="L13" s="88">
        <f>725*1</f>
        <v>725</v>
      </c>
      <c r="M13" s="88">
        <f>725*1</f>
        <v>725</v>
      </c>
    </row>
    <row r="14" spans="1:13" ht="20" customHeight="1" x14ac:dyDescent="0.2">
      <c r="A14" s="90" t="s">
        <v>129</v>
      </c>
      <c r="B14" s="88">
        <v>18775</v>
      </c>
      <c r="C14" s="88">
        <f>18775-3300</f>
        <v>15475</v>
      </c>
      <c r="D14" s="88">
        <v>17200</v>
      </c>
      <c r="E14" s="88">
        <f>17200-3300</f>
        <v>13900</v>
      </c>
      <c r="F14" s="88">
        <v>17200</v>
      </c>
      <c r="G14" s="88">
        <f>17200-3300</f>
        <v>13900</v>
      </c>
      <c r="H14" s="88">
        <f>13900+3300</f>
        <v>17200</v>
      </c>
      <c r="I14" s="88">
        <v>13900</v>
      </c>
      <c r="J14" s="88">
        <f>7600+3300</f>
        <v>10900</v>
      </c>
      <c r="K14" s="88">
        <v>7600</v>
      </c>
      <c r="L14" s="88">
        <f>7600+3300</f>
        <v>10900</v>
      </c>
      <c r="M14" s="88">
        <v>7600</v>
      </c>
    </row>
    <row r="15" spans="1:13" ht="20" customHeight="1" x14ac:dyDescent="0.2">
      <c r="A15" s="90" t="s">
        <v>130</v>
      </c>
      <c r="B15" s="88">
        <v>4340</v>
      </c>
      <c r="C15" s="88">
        <v>4340</v>
      </c>
      <c r="D15" s="88">
        <v>3395</v>
      </c>
      <c r="E15" s="88">
        <v>3395</v>
      </c>
      <c r="F15" s="88">
        <v>3080</v>
      </c>
      <c r="G15" s="88">
        <v>3080</v>
      </c>
      <c r="H15" s="88">
        <v>2345</v>
      </c>
      <c r="I15" s="88">
        <v>2345</v>
      </c>
      <c r="J15" s="88">
        <v>430</v>
      </c>
      <c r="K15" s="88">
        <v>430</v>
      </c>
      <c r="L15" s="88">
        <v>220</v>
      </c>
      <c r="M15" s="88">
        <v>220</v>
      </c>
    </row>
    <row r="16" spans="1:13" ht="20" customHeight="1" x14ac:dyDescent="0.2">
      <c r="A16" s="84" t="s">
        <v>23</v>
      </c>
      <c r="B16" s="91">
        <f>SUM(B3:B15)</f>
        <v>235705</v>
      </c>
      <c r="C16" s="91">
        <f t="shared" ref="C16:M16" si="4">SUM(C3:C15)</f>
        <v>207340</v>
      </c>
      <c r="D16" s="91">
        <f t="shared" si="4"/>
        <v>146680</v>
      </c>
      <c r="E16" s="91">
        <f t="shared" si="4"/>
        <v>118315</v>
      </c>
      <c r="F16" s="91">
        <f t="shared" si="4"/>
        <v>135430</v>
      </c>
      <c r="G16" s="91">
        <f t="shared" si="4"/>
        <v>107065</v>
      </c>
      <c r="H16" s="91">
        <f t="shared" si="4"/>
        <v>109180</v>
      </c>
      <c r="I16" s="91">
        <f t="shared" si="4"/>
        <v>80815</v>
      </c>
      <c r="J16" s="91">
        <f t="shared" si="4"/>
        <v>61542</v>
      </c>
      <c r="K16" s="91">
        <f t="shared" si="4"/>
        <v>33177</v>
      </c>
      <c r="L16" s="91">
        <f t="shared" si="4"/>
        <v>54042.1</v>
      </c>
      <c r="M16" s="91">
        <f t="shared" si="4"/>
        <v>25677.1</v>
      </c>
    </row>
    <row r="17" spans="1:13" ht="20" customHeight="1" x14ac:dyDescent="0.2">
      <c r="A17" s="84"/>
      <c r="B17" s="9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ht="20" customHeight="1" x14ac:dyDescent="0.2">
      <c r="A18" s="84" t="s">
        <v>24</v>
      </c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1:13" ht="20" customHeight="1" x14ac:dyDescent="0.2">
      <c r="A19" s="94" t="s">
        <v>175</v>
      </c>
      <c r="B19" s="99">
        <v>55137.31</v>
      </c>
      <c r="C19" s="99">
        <v>48502.03</v>
      </c>
      <c r="D19" s="99">
        <v>34312.129999999997</v>
      </c>
      <c r="E19" s="99">
        <v>27676.85</v>
      </c>
      <c r="F19" s="99">
        <v>31680.48</v>
      </c>
      <c r="G19" s="99">
        <v>25045.19</v>
      </c>
      <c r="H19" s="99">
        <v>25539.94</v>
      </c>
      <c r="I19" s="99">
        <v>18904.66</v>
      </c>
      <c r="J19" s="99">
        <v>14396.22</v>
      </c>
      <c r="K19" s="99">
        <v>7760.93</v>
      </c>
      <c r="L19" s="99">
        <v>12641.8</v>
      </c>
      <c r="M19" s="99">
        <v>6006.52</v>
      </c>
    </row>
    <row r="20" spans="1:13" ht="20" customHeight="1" x14ac:dyDescent="0.2">
      <c r="A20" s="94" t="s">
        <v>176</v>
      </c>
      <c r="B20" s="100">
        <f t="shared" ref="B20:M20" si="5">B19*5</f>
        <v>275686.55</v>
      </c>
      <c r="C20" s="100">
        <f t="shared" si="5"/>
        <v>242510.15</v>
      </c>
      <c r="D20" s="100">
        <f t="shared" si="5"/>
        <v>171560.65</v>
      </c>
      <c r="E20" s="100">
        <f t="shared" si="5"/>
        <v>138384.25</v>
      </c>
      <c r="F20" s="100">
        <f t="shared" si="5"/>
        <v>158402.4</v>
      </c>
      <c r="G20" s="100">
        <f t="shared" si="5"/>
        <v>125225.95</v>
      </c>
      <c r="H20" s="100">
        <f t="shared" si="5"/>
        <v>127699.7</v>
      </c>
      <c r="I20" s="100">
        <f t="shared" si="5"/>
        <v>94523.3</v>
      </c>
      <c r="J20" s="100">
        <f t="shared" si="5"/>
        <v>71981.099999999991</v>
      </c>
      <c r="K20" s="100">
        <f t="shared" si="5"/>
        <v>38804.65</v>
      </c>
      <c r="L20" s="100">
        <f t="shared" si="5"/>
        <v>63209</v>
      </c>
      <c r="M20" s="100">
        <f t="shared" si="5"/>
        <v>30032.600000000002</v>
      </c>
    </row>
    <row r="21" spans="1:13" ht="20" customHeight="1" x14ac:dyDescent="0.2">
      <c r="A21" s="87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</row>
    <row r="22" spans="1:13" ht="20" customHeight="1" x14ac:dyDescent="0.2">
      <c r="A22" s="84" t="s">
        <v>27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  <row r="23" spans="1:13" ht="20" customHeight="1" x14ac:dyDescent="0.2">
      <c r="A23" s="95" t="s">
        <v>131</v>
      </c>
      <c r="B23" s="86">
        <v>21365</v>
      </c>
      <c r="C23" s="86">
        <v>0</v>
      </c>
      <c r="D23" s="86">
        <v>21365</v>
      </c>
      <c r="E23" s="86">
        <v>0</v>
      </c>
      <c r="F23" s="86">
        <v>21365</v>
      </c>
      <c r="G23" s="86">
        <v>0</v>
      </c>
      <c r="H23" s="86">
        <v>21365</v>
      </c>
      <c r="I23" s="86">
        <v>0</v>
      </c>
      <c r="J23" s="86">
        <v>21365</v>
      </c>
      <c r="K23" s="86">
        <v>0</v>
      </c>
      <c r="L23" s="86">
        <v>21365</v>
      </c>
      <c r="M23" s="86">
        <v>0</v>
      </c>
    </row>
    <row r="24" spans="1:13" ht="20" customHeight="1" x14ac:dyDescent="0.2">
      <c r="A24" s="95" t="s">
        <v>132</v>
      </c>
      <c r="B24" s="86">
        <v>0</v>
      </c>
      <c r="C24" s="86">
        <v>4200</v>
      </c>
      <c r="D24" s="86">
        <v>0</v>
      </c>
      <c r="E24" s="86">
        <v>4200</v>
      </c>
      <c r="F24" s="86">
        <v>0</v>
      </c>
      <c r="G24" s="86">
        <v>4200</v>
      </c>
      <c r="H24" s="86">
        <v>0</v>
      </c>
      <c r="I24" s="86">
        <v>4200</v>
      </c>
      <c r="J24" s="86">
        <v>0</v>
      </c>
      <c r="K24" s="86">
        <v>4200</v>
      </c>
      <c r="L24" s="86">
        <v>0</v>
      </c>
      <c r="M24" s="86">
        <v>4200</v>
      </c>
    </row>
    <row r="25" spans="1:13" ht="20" customHeight="1" x14ac:dyDescent="0.2">
      <c r="A25" s="90" t="s">
        <v>133</v>
      </c>
      <c r="B25" s="86">
        <f>2525*1</f>
        <v>2525</v>
      </c>
      <c r="C25" s="86">
        <f>2525*1</f>
        <v>2525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</row>
    <row r="26" spans="1:13" ht="20" customHeight="1" x14ac:dyDescent="0.2">
      <c r="A26" s="95" t="s">
        <v>134</v>
      </c>
      <c r="B26" s="86">
        <f>1575*1</f>
        <v>1575</v>
      </c>
      <c r="C26" s="86">
        <f>1575*1</f>
        <v>1575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</row>
    <row r="27" spans="1:13" ht="20" customHeight="1" x14ac:dyDescent="0.2">
      <c r="A27" s="90" t="s">
        <v>135</v>
      </c>
      <c r="B27" s="86">
        <v>0</v>
      </c>
      <c r="C27" s="86">
        <v>0</v>
      </c>
      <c r="D27" s="86">
        <f t="shared" ref="D27:I27" si="6">1750*1</f>
        <v>1750</v>
      </c>
      <c r="E27" s="86">
        <f t="shared" si="6"/>
        <v>1750</v>
      </c>
      <c r="F27" s="86">
        <f t="shared" si="6"/>
        <v>1750</v>
      </c>
      <c r="G27" s="86">
        <f t="shared" si="6"/>
        <v>1750</v>
      </c>
      <c r="H27" s="86">
        <f t="shared" si="6"/>
        <v>1750</v>
      </c>
      <c r="I27" s="86">
        <f t="shared" si="6"/>
        <v>1750</v>
      </c>
      <c r="J27" s="86">
        <v>0</v>
      </c>
      <c r="K27" s="86">
        <v>0</v>
      </c>
      <c r="L27" s="86">
        <v>0</v>
      </c>
      <c r="M27" s="86">
        <v>0</v>
      </c>
    </row>
    <row r="28" spans="1:13" ht="20" customHeight="1" x14ac:dyDescent="0.2">
      <c r="A28" s="95" t="s">
        <v>136</v>
      </c>
      <c r="B28" s="86">
        <v>0</v>
      </c>
      <c r="C28" s="86">
        <v>0</v>
      </c>
      <c r="D28" s="86">
        <f>1575*1</f>
        <v>1575</v>
      </c>
      <c r="E28" s="86">
        <f t="shared" ref="E28:I28" si="7">1575*1</f>
        <v>1575</v>
      </c>
      <c r="F28" s="86">
        <f t="shared" si="7"/>
        <v>1575</v>
      </c>
      <c r="G28" s="86">
        <f t="shared" si="7"/>
        <v>1575</v>
      </c>
      <c r="H28" s="86">
        <f t="shared" si="7"/>
        <v>1575</v>
      </c>
      <c r="I28" s="86">
        <f t="shared" si="7"/>
        <v>1575</v>
      </c>
      <c r="J28" s="86">
        <v>0</v>
      </c>
      <c r="K28" s="86">
        <v>0</v>
      </c>
      <c r="L28" s="86">
        <v>0</v>
      </c>
      <c r="M28" s="86">
        <v>0</v>
      </c>
    </row>
    <row r="29" spans="1:13" ht="20" customHeight="1" x14ac:dyDescent="0.2">
      <c r="A29" s="90" t="s">
        <v>137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f>125*1</f>
        <v>125</v>
      </c>
      <c r="K29" s="86">
        <f>125*1</f>
        <v>125</v>
      </c>
      <c r="L29" s="86">
        <f>125*1</f>
        <v>125</v>
      </c>
      <c r="M29" s="86">
        <f>125*1</f>
        <v>125</v>
      </c>
    </row>
    <row r="30" spans="1:13" ht="20" customHeight="1" x14ac:dyDescent="0.2">
      <c r="A30" s="95" t="s">
        <v>138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f t="shared" ref="J30:K30" si="8">80*1</f>
        <v>80</v>
      </c>
      <c r="K30" s="86">
        <f t="shared" si="8"/>
        <v>80</v>
      </c>
      <c r="L30" s="86">
        <f>80*1</f>
        <v>80</v>
      </c>
      <c r="M30" s="86">
        <f>80*1</f>
        <v>80</v>
      </c>
    </row>
    <row r="31" spans="1:13" ht="20" customHeight="1" x14ac:dyDescent="0.2">
      <c r="A31" s="95" t="s">
        <v>139</v>
      </c>
      <c r="B31" s="86">
        <f>3050*1</f>
        <v>3050</v>
      </c>
      <c r="C31" s="86">
        <f t="shared" ref="C31:M31" si="9">3050*1</f>
        <v>3050</v>
      </c>
      <c r="D31" s="86">
        <f t="shared" si="9"/>
        <v>3050</v>
      </c>
      <c r="E31" s="86">
        <f t="shared" si="9"/>
        <v>3050</v>
      </c>
      <c r="F31" s="86">
        <f t="shared" si="9"/>
        <v>3050</v>
      </c>
      <c r="G31" s="86">
        <f t="shared" si="9"/>
        <v>3050</v>
      </c>
      <c r="H31" s="86">
        <f t="shared" si="9"/>
        <v>3050</v>
      </c>
      <c r="I31" s="86">
        <f t="shared" si="9"/>
        <v>3050</v>
      </c>
      <c r="J31" s="86">
        <f t="shared" si="9"/>
        <v>3050</v>
      </c>
      <c r="K31" s="86">
        <f t="shared" si="9"/>
        <v>3050</v>
      </c>
      <c r="L31" s="86">
        <f t="shared" si="9"/>
        <v>3050</v>
      </c>
      <c r="M31" s="86">
        <f t="shared" si="9"/>
        <v>3050</v>
      </c>
    </row>
    <row r="32" spans="1:13" ht="20" customHeight="1" x14ac:dyDescent="0.2">
      <c r="A32" s="90" t="s">
        <v>140</v>
      </c>
      <c r="B32" s="86">
        <f>97.5*23</f>
        <v>2242.5</v>
      </c>
      <c r="C32" s="86">
        <f>97.5*23</f>
        <v>2242.5</v>
      </c>
      <c r="D32" s="86">
        <f>97.5*14</f>
        <v>1365</v>
      </c>
      <c r="E32" s="86">
        <f>97.5*14</f>
        <v>1365</v>
      </c>
      <c r="F32" s="86">
        <f>97.5*11</f>
        <v>1072.5</v>
      </c>
      <c r="G32" s="86">
        <f>97.5*11</f>
        <v>1072.5</v>
      </c>
      <c r="H32" s="86">
        <f>97.5*4</f>
        <v>390</v>
      </c>
      <c r="I32" s="86">
        <f>97.5*4</f>
        <v>390</v>
      </c>
      <c r="J32" s="86">
        <f>97.5*3</f>
        <v>292.5</v>
      </c>
      <c r="K32" s="86">
        <f>97.5*3</f>
        <v>292.5</v>
      </c>
      <c r="L32" s="86">
        <f>97.5*1</f>
        <v>97.5</v>
      </c>
      <c r="M32" s="86">
        <f>97.5*1</f>
        <v>97.5</v>
      </c>
    </row>
    <row r="33" spans="1:13" ht="20" customHeight="1" x14ac:dyDescent="0.2">
      <c r="A33" s="90" t="s">
        <v>141</v>
      </c>
      <c r="B33" s="86">
        <f>23*65</f>
        <v>1495</v>
      </c>
      <c r="C33" s="86">
        <f>23*65</f>
        <v>1495</v>
      </c>
      <c r="D33" s="86">
        <f>65*14</f>
        <v>910</v>
      </c>
      <c r="E33" s="86">
        <f>14*65</f>
        <v>910</v>
      </c>
      <c r="F33" s="86">
        <f>11*65</f>
        <v>715</v>
      </c>
      <c r="G33" s="86">
        <f>11*65</f>
        <v>715</v>
      </c>
      <c r="H33" s="86">
        <f>65*4</f>
        <v>260</v>
      </c>
      <c r="I33" s="86">
        <f>65*4</f>
        <v>260</v>
      </c>
      <c r="J33" s="86">
        <f>65*3</f>
        <v>195</v>
      </c>
      <c r="K33" s="86">
        <f>65*3</f>
        <v>195</v>
      </c>
      <c r="L33" s="86">
        <f>65*1</f>
        <v>65</v>
      </c>
      <c r="M33" s="86">
        <f>65*1</f>
        <v>65</v>
      </c>
    </row>
    <row r="34" spans="1:13" ht="20" customHeight="1" x14ac:dyDescent="0.2">
      <c r="A34" s="90" t="s">
        <v>142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</row>
    <row r="35" spans="1:13" ht="20" customHeight="1" x14ac:dyDescent="0.2">
      <c r="A35" s="84" t="s">
        <v>36</v>
      </c>
      <c r="B35" s="91">
        <f>SUM(B23:B34)</f>
        <v>32252.5</v>
      </c>
      <c r="C35" s="91">
        <f t="shared" ref="C35:M35" si="10">SUM(C23:C34)</f>
        <v>15087.5</v>
      </c>
      <c r="D35" s="91">
        <f t="shared" si="10"/>
        <v>30015</v>
      </c>
      <c r="E35" s="91">
        <f t="shared" si="10"/>
        <v>12850</v>
      </c>
      <c r="F35" s="91">
        <f t="shared" si="10"/>
        <v>29527.5</v>
      </c>
      <c r="G35" s="91">
        <f t="shared" si="10"/>
        <v>12362.5</v>
      </c>
      <c r="H35" s="91">
        <f t="shared" si="10"/>
        <v>28390</v>
      </c>
      <c r="I35" s="91">
        <f t="shared" si="10"/>
        <v>11225</v>
      </c>
      <c r="J35" s="91">
        <f t="shared" si="10"/>
        <v>25107.5</v>
      </c>
      <c r="K35" s="91">
        <f t="shared" si="10"/>
        <v>7942.5</v>
      </c>
      <c r="L35" s="91">
        <f t="shared" si="10"/>
        <v>24782.5</v>
      </c>
      <c r="M35" s="91">
        <f t="shared" si="10"/>
        <v>7617.5</v>
      </c>
    </row>
    <row r="36" spans="1:13" ht="20" customHeight="1" x14ac:dyDescent="0.2">
      <c r="A36" s="87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spans="1:13" ht="20" customHeight="1" x14ac:dyDescent="0.2">
      <c r="A37" s="84" t="s">
        <v>37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ht="20" customHeight="1" x14ac:dyDescent="0.2">
      <c r="A38" s="98" t="s">
        <v>38</v>
      </c>
      <c r="B38" s="97">
        <f>B16+(B35*9)</f>
        <v>525977.5</v>
      </c>
      <c r="C38" s="97">
        <f t="shared" ref="C38:M38" si="11">C16+(C35*9)</f>
        <v>343127.5</v>
      </c>
      <c r="D38" s="97">
        <f t="shared" si="11"/>
        <v>416815</v>
      </c>
      <c r="E38" s="97">
        <f t="shared" si="11"/>
        <v>233965</v>
      </c>
      <c r="F38" s="97">
        <f t="shared" si="11"/>
        <v>401177.5</v>
      </c>
      <c r="G38" s="97">
        <f t="shared" si="11"/>
        <v>218327.5</v>
      </c>
      <c r="H38" s="97">
        <f t="shared" si="11"/>
        <v>364690</v>
      </c>
      <c r="I38" s="97">
        <f t="shared" si="11"/>
        <v>181840</v>
      </c>
      <c r="J38" s="97">
        <f t="shared" si="11"/>
        <v>287509.5</v>
      </c>
      <c r="K38" s="97">
        <f t="shared" si="11"/>
        <v>104659.5</v>
      </c>
      <c r="L38" s="97">
        <f t="shared" si="11"/>
        <v>277084.59999999998</v>
      </c>
      <c r="M38" s="97">
        <f t="shared" si="11"/>
        <v>94234.6</v>
      </c>
    </row>
    <row r="39" spans="1:13" ht="20" customHeight="1" x14ac:dyDescent="0.2">
      <c r="A39" s="84" t="s">
        <v>174</v>
      </c>
      <c r="B39" s="97">
        <f>B20+(B35*9)</f>
        <v>565959.05000000005</v>
      </c>
      <c r="C39" s="97">
        <f t="shared" ref="C39:M39" si="12">C20+(C35*9)</f>
        <v>378297.65</v>
      </c>
      <c r="D39" s="97">
        <f t="shared" si="12"/>
        <v>441695.65</v>
      </c>
      <c r="E39" s="97">
        <f t="shared" si="12"/>
        <v>254034.25</v>
      </c>
      <c r="F39" s="97">
        <f t="shared" si="12"/>
        <v>424149.9</v>
      </c>
      <c r="G39" s="97">
        <f t="shared" si="12"/>
        <v>236488.45</v>
      </c>
      <c r="H39" s="97">
        <f t="shared" si="12"/>
        <v>383209.7</v>
      </c>
      <c r="I39" s="97">
        <f t="shared" si="12"/>
        <v>195548.3</v>
      </c>
      <c r="J39" s="97">
        <f t="shared" si="12"/>
        <v>297948.59999999998</v>
      </c>
      <c r="K39" s="97">
        <f t="shared" si="12"/>
        <v>110287.15</v>
      </c>
      <c r="L39" s="97">
        <f t="shared" si="12"/>
        <v>286251.5</v>
      </c>
      <c r="M39" s="97">
        <f t="shared" si="12"/>
        <v>98590.1</v>
      </c>
    </row>
    <row r="40" spans="1:13" ht="20" customHeight="1" x14ac:dyDescent="0.2">
      <c r="A40" s="84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ht="20" customHeight="1" x14ac:dyDescent="0.2">
      <c r="A41" s="84" t="s">
        <v>143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spans="1:13" ht="20" customHeight="1" x14ac:dyDescent="0.2">
      <c r="A42" s="95" t="s">
        <v>144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</row>
    <row r="43" spans="1:13" ht="20" customHeight="1" x14ac:dyDescent="0.2">
      <c r="A43" s="90" t="s">
        <v>145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1:13" ht="20" customHeight="1" x14ac:dyDescent="0.2">
      <c r="A44" s="90" t="s">
        <v>146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13" ht="20" customHeight="1" x14ac:dyDescent="0.2">
      <c r="A45" s="96" t="s">
        <v>147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</row>
    <row r="46" spans="1:13" ht="20" customHeight="1" x14ac:dyDescent="0.2">
      <c r="A46" s="90" t="s">
        <v>148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</row>
  </sheetData>
  <printOptions gridLines="1"/>
  <pageMargins left="0.7" right="0.7" top="0.75" bottom="0.75" header="0.3" footer="0.3"/>
  <pageSetup paperSize="17" scale="64" orientation="landscape" r:id="rId1"/>
  <headerFooter>
    <oddFooter>&amp;L&amp;F&amp;CPage &amp;P of &amp;N&amp;RFinal Version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1"/>
  <sheetViews>
    <sheetView workbookViewId="0">
      <pane ySplit="2" topLeftCell="A35" activePane="bottomLeft" state="frozen"/>
      <selection pane="bottomLeft" activeCell="A45" sqref="A45"/>
    </sheetView>
  </sheetViews>
  <sheetFormatPr baseColWidth="10" defaultColWidth="8.83203125" defaultRowHeight="15" x14ac:dyDescent="0.2"/>
  <cols>
    <col min="1" max="1" width="140.6640625" bestFit="1" customWidth="1"/>
    <col min="2" max="2" width="11.5" bestFit="1" customWidth="1"/>
    <col min="3" max="3" width="15.5" bestFit="1" customWidth="1"/>
    <col min="4" max="4" width="11.5" bestFit="1" customWidth="1"/>
    <col min="5" max="5" width="15.5" bestFit="1" customWidth="1"/>
    <col min="6" max="6" width="11.5" bestFit="1" customWidth="1"/>
    <col min="7" max="7" width="15.5" bestFit="1" customWidth="1"/>
    <col min="8" max="8" width="11.5" bestFit="1" customWidth="1"/>
    <col min="9" max="9" width="15.5" bestFit="1" customWidth="1"/>
    <col min="10" max="10" width="9.83203125" bestFit="1" customWidth="1"/>
    <col min="11" max="11" width="14" bestFit="1" customWidth="1"/>
    <col min="12" max="12" width="9.83203125" bestFit="1" customWidth="1"/>
    <col min="13" max="13" width="14.5" bestFit="1" customWidth="1"/>
  </cols>
  <sheetData>
    <row r="1" spans="1:13" s="60" customFormat="1" ht="19" x14ac:dyDescent="0.25">
      <c r="A1" s="79" t="s">
        <v>172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</row>
    <row r="2" spans="1:13" ht="20" customHeight="1" x14ac:dyDescent="0.2">
      <c r="A2" s="40" t="s">
        <v>13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" customHeight="1" x14ac:dyDescent="0.2">
      <c r="A3" s="43" t="s">
        <v>156</v>
      </c>
      <c r="B3" s="44">
        <f>6300*1</f>
        <v>6300</v>
      </c>
      <c r="C3" s="45">
        <v>0</v>
      </c>
      <c r="D3" s="44">
        <f>6300*1</f>
        <v>6300</v>
      </c>
      <c r="E3" s="45">
        <v>0</v>
      </c>
      <c r="F3" s="44">
        <f>6300*1</f>
        <v>6300</v>
      </c>
      <c r="G3" s="45">
        <v>0</v>
      </c>
      <c r="H3" s="44">
        <f>6300*1</f>
        <v>6300</v>
      </c>
      <c r="I3" s="45">
        <v>0</v>
      </c>
      <c r="J3" s="44">
        <f>6300*1</f>
        <v>6300</v>
      </c>
      <c r="K3" s="45">
        <v>0</v>
      </c>
      <c r="L3" s="44">
        <f>6300*1</f>
        <v>6300</v>
      </c>
      <c r="M3" s="45">
        <v>0</v>
      </c>
    </row>
    <row r="4" spans="1:13" ht="20" customHeight="1" x14ac:dyDescent="0.2">
      <c r="A4" s="43" t="s">
        <v>157</v>
      </c>
      <c r="B4" s="44">
        <f>18000*1</f>
        <v>18000</v>
      </c>
      <c r="C4" s="45">
        <v>0</v>
      </c>
      <c r="D4" s="44">
        <f>18000*1</f>
        <v>18000</v>
      </c>
      <c r="E4" s="45">
        <v>0</v>
      </c>
      <c r="F4" s="44">
        <f>18000*1</f>
        <v>18000</v>
      </c>
      <c r="G4" s="45">
        <v>0</v>
      </c>
      <c r="H4" s="44">
        <f>18000*1</f>
        <v>18000</v>
      </c>
      <c r="I4" s="45">
        <v>0</v>
      </c>
      <c r="J4" s="44">
        <f>18000*1</f>
        <v>18000</v>
      </c>
      <c r="K4" s="45">
        <v>0</v>
      </c>
      <c r="L4" s="44">
        <f>18000*1</f>
        <v>18000</v>
      </c>
      <c r="M4" s="45">
        <v>0</v>
      </c>
    </row>
    <row r="5" spans="1:13" ht="20" customHeight="1" x14ac:dyDescent="0.2">
      <c r="A5" s="43" t="s">
        <v>48</v>
      </c>
      <c r="B5" s="45">
        <f>3220*1</f>
        <v>3220</v>
      </c>
      <c r="C5" s="45">
        <v>0</v>
      </c>
      <c r="D5" s="45">
        <f>3220*1</f>
        <v>3220</v>
      </c>
      <c r="E5" s="45">
        <v>0</v>
      </c>
      <c r="F5" s="45">
        <f>3220*1</f>
        <v>3220</v>
      </c>
      <c r="G5" s="45">
        <v>0</v>
      </c>
      <c r="H5" s="45">
        <f>3220*1</f>
        <v>3220</v>
      </c>
      <c r="I5" s="45">
        <v>0</v>
      </c>
      <c r="J5" s="45">
        <f>3220*1</f>
        <v>3220</v>
      </c>
      <c r="K5" s="45">
        <v>0</v>
      </c>
      <c r="L5" s="45">
        <f>3220*1</f>
        <v>3220</v>
      </c>
      <c r="M5" s="45">
        <v>0</v>
      </c>
    </row>
    <row r="6" spans="1:13" ht="20" customHeight="1" x14ac:dyDescent="0.2">
      <c r="A6" s="43" t="s">
        <v>158</v>
      </c>
      <c r="B6" s="45">
        <f>3220*1</f>
        <v>3220</v>
      </c>
      <c r="C6" s="45">
        <f>3220*1</f>
        <v>3220</v>
      </c>
      <c r="D6" s="45">
        <f>3220*1</f>
        <v>3220</v>
      </c>
      <c r="E6" s="45">
        <f>3220*1</f>
        <v>3220</v>
      </c>
      <c r="F6" s="45">
        <f>3220*1</f>
        <v>3220</v>
      </c>
      <c r="G6" s="45">
        <f>3220*1</f>
        <v>3220</v>
      </c>
      <c r="H6" s="45">
        <f>3220*1</f>
        <v>3220</v>
      </c>
      <c r="I6" s="45">
        <f>3220*1</f>
        <v>3220</v>
      </c>
      <c r="J6" s="45">
        <f>3220*1</f>
        <v>3220</v>
      </c>
      <c r="K6" s="45">
        <f>3220*1</f>
        <v>3220</v>
      </c>
      <c r="L6" s="45">
        <f>3220*1</f>
        <v>3220</v>
      </c>
      <c r="M6" s="45">
        <f>3220*1</f>
        <v>3220</v>
      </c>
    </row>
    <row r="7" spans="1:13" ht="20" customHeight="1" x14ac:dyDescent="0.2">
      <c r="A7" s="43" t="s">
        <v>159</v>
      </c>
      <c r="B7" s="44">
        <f>21000*2</f>
        <v>42000</v>
      </c>
      <c r="C7" s="44">
        <f>21000*2</f>
        <v>42000</v>
      </c>
      <c r="D7" s="44">
        <f>21000*1</f>
        <v>21000</v>
      </c>
      <c r="E7" s="44">
        <f t="shared" ref="E7:K7" si="0">21000*1</f>
        <v>21000</v>
      </c>
      <c r="F7" s="44">
        <f t="shared" si="0"/>
        <v>21000</v>
      </c>
      <c r="G7" s="44">
        <f t="shared" si="0"/>
        <v>21000</v>
      </c>
      <c r="H7" s="44">
        <f t="shared" si="0"/>
        <v>21000</v>
      </c>
      <c r="I7" s="44">
        <f t="shared" si="0"/>
        <v>21000</v>
      </c>
      <c r="J7" s="44">
        <f t="shared" si="0"/>
        <v>21000</v>
      </c>
      <c r="K7" s="44">
        <f t="shared" si="0"/>
        <v>21000</v>
      </c>
      <c r="L7" s="45">
        <v>0</v>
      </c>
      <c r="M7" s="45">
        <v>0</v>
      </c>
    </row>
    <row r="8" spans="1:13" ht="20" customHeight="1" x14ac:dyDescent="0.2">
      <c r="A8" s="43" t="s">
        <v>160</v>
      </c>
      <c r="B8" s="44">
        <f>7250*6</f>
        <v>43500</v>
      </c>
      <c r="C8" s="44">
        <f>7250*6</f>
        <v>43500</v>
      </c>
      <c r="D8" s="44">
        <f>7250*3</f>
        <v>21750</v>
      </c>
      <c r="E8" s="44">
        <f>7250*3</f>
        <v>21750</v>
      </c>
      <c r="F8" s="44">
        <f>7250*2</f>
        <v>14500</v>
      </c>
      <c r="G8" s="44">
        <f>7250*2</f>
        <v>14500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</row>
    <row r="9" spans="1:13" ht="20" customHeight="1" x14ac:dyDescent="0.2">
      <c r="A9" s="43" t="s">
        <v>49</v>
      </c>
      <c r="B9" s="45">
        <f>3220*2</f>
        <v>6440</v>
      </c>
      <c r="C9" s="45">
        <f>3220*2</f>
        <v>6440</v>
      </c>
      <c r="D9" s="45">
        <f t="shared" ref="D9:K9" si="1">3220*1</f>
        <v>3220</v>
      </c>
      <c r="E9" s="45">
        <f t="shared" si="1"/>
        <v>3220</v>
      </c>
      <c r="F9" s="45">
        <f t="shared" si="1"/>
        <v>3220</v>
      </c>
      <c r="G9" s="45">
        <f t="shared" si="1"/>
        <v>3220</v>
      </c>
      <c r="H9" s="45">
        <f t="shared" si="1"/>
        <v>3220</v>
      </c>
      <c r="I9" s="45">
        <f t="shared" si="1"/>
        <v>3220</v>
      </c>
      <c r="J9" s="45">
        <f t="shared" si="1"/>
        <v>3220</v>
      </c>
      <c r="K9" s="45">
        <f t="shared" si="1"/>
        <v>3220</v>
      </c>
      <c r="L9" s="45">
        <v>0</v>
      </c>
      <c r="M9" s="45">
        <v>0</v>
      </c>
    </row>
    <row r="10" spans="1:13" ht="20" customHeight="1" x14ac:dyDescent="0.2">
      <c r="A10" s="43" t="s">
        <v>50</v>
      </c>
      <c r="B10" s="45">
        <f>3220*6</f>
        <v>19320</v>
      </c>
      <c r="C10" s="45">
        <f>3220*6</f>
        <v>19320</v>
      </c>
      <c r="D10" s="45">
        <f>3220*3</f>
        <v>9660</v>
      </c>
      <c r="E10" s="45">
        <f>3220*3</f>
        <v>9660</v>
      </c>
      <c r="F10" s="45">
        <f>3220*2</f>
        <v>6440</v>
      </c>
      <c r="G10" s="45">
        <f>3220*2</f>
        <v>6440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</row>
    <row r="11" spans="1:13" ht="20" customHeight="1" x14ac:dyDescent="0.2">
      <c r="A11" s="43" t="s">
        <v>51</v>
      </c>
      <c r="B11" s="45">
        <f>7440*6</f>
        <v>44640</v>
      </c>
      <c r="C11" s="45">
        <f>7440*6</f>
        <v>44640</v>
      </c>
      <c r="D11" s="45">
        <f>7440*3</f>
        <v>22320</v>
      </c>
      <c r="E11" s="45">
        <f>7440*3</f>
        <v>22320</v>
      </c>
      <c r="F11" s="45">
        <f>7440*2</f>
        <v>14880</v>
      </c>
      <c r="G11" s="45">
        <f>7440*2</f>
        <v>14880</v>
      </c>
      <c r="H11" s="45">
        <f>7440*1</f>
        <v>7440</v>
      </c>
      <c r="I11" s="45">
        <f>7440*1</f>
        <v>7440</v>
      </c>
      <c r="J11" s="45">
        <v>0</v>
      </c>
      <c r="K11" s="45">
        <v>0</v>
      </c>
      <c r="L11" s="45">
        <v>0</v>
      </c>
      <c r="M11" s="45">
        <v>0</v>
      </c>
    </row>
    <row r="12" spans="1:13" ht="20" customHeight="1" x14ac:dyDescent="0.2">
      <c r="A12" s="43" t="s">
        <v>52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f>5025*1</f>
        <v>5025</v>
      </c>
      <c r="K12" s="45">
        <f>5025*1</f>
        <v>5025</v>
      </c>
      <c r="L12" s="44">
        <v>0</v>
      </c>
      <c r="M12" s="44">
        <v>0</v>
      </c>
    </row>
    <row r="13" spans="1:13" ht="20" customHeight="1" x14ac:dyDescent="0.2">
      <c r="A13" s="43" t="s">
        <v>161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4">
        <f>6100*2</f>
        <v>12200</v>
      </c>
      <c r="M13" s="44">
        <f>6100*2</f>
        <v>12200</v>
      </c>
    </row>
    <row r="14" spans="1:13" ht="20" customHeight="1" x14ac:dyDescent="0.2">
      <c r="A14" s="43" t="s">
        <v>162</v>
      </c>
      <c r="B14" s="45">
        <f t="shared" ref="B14:M14" si="2">6300*1</f>
        <v>6300</v>
      </c>
      <c r="C14" s="45">
        <f t="shared" si="2"/>
        <v>6300</v>
      </c>
      <c r="D14" s="45">
        <f t="shared" si="2"/>
        <v>6300</v>
      </c>
      <c r="E14" s="45">
        <f t="shared" si="2"/>
        <v>6300</v>
      </c>
      <c r="F14" s="45">
        <f t="shared" si="2"/>
        <v>6300</v>
      </c>
      <c r="G14" s="45">
        <f t="shared" si="2"/>
        <v>6300</v>
      </c>
      <c r="H14" s="45">
        <f t="shared" si="2"/>
        <v>6300</v>
      </c>
      <c r="I14" s="45">
        <f t="shared" si="2"/>
        <v>6300</v>
      </c>
      <c r="J14" s="45">
        <f t="shared" si="2"/>
        <v>6300</v>
      </c>
      <c r="K14" s="45">
        <f t="shared" si="2"/>
        <v>6300</v>
      </c>
      <c r="L14" s="45">
        <f t="shared" si="2"/>
        <v>6300</v>
      </c>
      <c r="M14" s="45">
        <f t="shared" si="2"/>
        <v>6300</v>
      </c>
    </row>
    <row r="15" spans="1:13" ht="20" customHeight="1" x14ac:dyDescent="0.2">
      <c r="A15" s="43" t="s">
        <v>53</v>
      </c>
      <c r="B15" s="45">
        <f>4725*23</f>
        <v>108675</v>
      </c>
      <c r="C15" s="45">
        <f>4725*23</f>
        <v>108675</v>
      </c>
      <c r="D15" s="45">
        <f>4725*14</f>
        <v>66150</v>
      </c>
      <c r="E15" s="45">
        <f>4725*14</f>
        <v>66150</v>
      </c>
      <c r="F15" s="45">
        <f>4725*11</f>
        <v>51975</v>
      </c>
      <c r="G15" s="45">
        <f>4725*11</f>
        <v>51975</v>
      </c>
      <c r="H15" s="45">
        <f>4725*4</f>
        <v>18900</v>
      </c>
      <c r="I15" s="45">
        <f>4725*4</f>
        <v>18900</v>
      </c>
      <c r="J15" s="45">
        <f>4725*3</f>
        <v>14175</v>
      </c>
      <c r="K15" s="45">
        <f>4725*3</f>
        <v>14175</v>
      </c>
      <c r="L15" s="45">
        <f>4725*1</f>
        <v>4725</v>
      </c>
      <c r="M15" s="45">
        <f>4725*1</f>
        <v>4725</v>
      </c>
    </row>
    <row r="16" spans="1:13" ht="20" customHeight="1" x14ac:dyDescent="0.2">
      <c r="A16" s="43" t="s">
        <v>54</v>
      </c>
      <c r="B16" s="45">
        <f>20*60</f>
        <v>1200</v>
      </c>
      <c r="C16" s="45">
        <f>20*60</f>
        <v>1200</v>
      </c>
      <c r="D16" s="45">
        <f>20*34</f>
        <v>680</v>
      </c>
      <c r="E16" s="45">
        <f>20*34</f>
        <v>680</v>
      </c>
      <c r="F16" s="45">
        <f>20*26</f>
        <v>520</v>
      </c>
      <c r="G16" s="45">
        <f>20*26</f>
        <v>520</v>
      </c>
      <c r="H16" s="45">
        <f>20*14</f>
        <v>280</v>
      </c>
      <c r="I16" s="45">
        <f>20*14</f>
        <v>280</v>
      </c>
      <c r="J16" s="45">
        <f>20*11</f>
        <v>220</v>
      </c>
      <c r="K16" s="45">
        <f>20*11</f>
        <v>220</v>
      </c>
      <c r="L16" s="45">
        <f>20*6</f>
        <v>120</v>
      </c>
      <c r="M16" s="45">
        <f>20*6</f>
        <v>120</v>
      </c>
    </row>
    <row r="17" spans="1:13" ht="20" customHeight="1" x14ac:dyDescent="0.2">
      <c r="A17" s="43" t="s">
        <v>55</v>
      </c>
      <c r="B17" s="45">
        <f>50*5</f>
        <v>250</v>
      </c>
      <c r="C17" s="45">
        <f>50*5</f>
        <v>250</v>
      </c>
      <c r="D17" s="45">
        <f>50*4</f>
        <v>200</v>
      </c>
      <c r="E17" s="45">
        <f t="shared" ref="E17:G17" si="3">50*4</f>
        <v>200</v>
      </c>
      <c r="F17" s="45">
        <f t="shared" si="3"/>
        <v>200</v>
      </c>
      <c r="G17" s="45">
        <f t="shared" si="3"/>
        <v>200</v>
      </c>
      <c r="H17" s="45">
        <f t="shared" ref="H17:M17" si="4">50*3</f>
        <v>150</v>
      </c>
      <c r="I17" s="45">
        <f t="shared" si="4"/>
        <v>150</v>
      </c>
      <c r="J17" s="45">
        <f t="shared" si="4"/>
        <v>150</v>
      </c>
      <c r="K17" s="45">
        <f t="shared" si="4"/>
        <v>150</v>
      </c>
      <c r="L17" s="45">
        <f t="shared" si="4"/>
        <v>150</v>
      </c>
      <c r="M17" s="45">
        <f t="shared" si="4"/>
        <v>150</v>
      </c>
    </row>
    <row r="18" spans="1:13" ht="20" customHeight="1" x14ac:dyDescent="0.2">
      <c r="A18" s="43" t="s">
        <v>56</v>
      </c>
      <c r="B18" s="45">
        <f>420*2</f>
        <v>840</v>
      </c>
      <c r="C18" s="45">
        <f>420*2</f>
        <v>840</v>
      </c>
      <c r="D18" s="45">
        <f>420*2</f>
        <v>840</v>
      </c>
      <c r="E18" s="45">
        <f>420*2</f>
        <v>840</v>
      </c>
      <c r="F18" s="45">
        <f t="shared" ref="F18:M18" si="5">420*1</f>
        <v>420</v>
      </c>
      <c r="G18" s="45">
        <f t="shared" si="5"/>
        <v>420</v>
      </c>
      <c r="H18" s="45">
        <f t="shared" si="5"/>
        <v>420</v>
      </c>
      <c r="I18" s="45">
        <f t="shared" si="5"/>
        <v>420</v>
      </c>
      <c r="J18" s="45">
        <f t="shared" si="5"/>
        <v>420</v>
      </c>
      <c r="K18" s="45">
        <f t="shared" si="5"/>
        <v>420</v>
      </c>
      <c r="L18" s="45">
        <f t="shared" si="5"/>
        <v>420</v>
      </c>
      <c r="M18" s="45">
        <f t="shared" si="5"/>
        <v>420</v>
      </c>
    </row>
    <row r="19" spans="1:13" ht="20" customHeight="1" x14ac:dyDescent="0.2">
      <c r="A19" s="43" t="s">
        <v>57</v>
      </c>
      <c r="B19" s="45">
        <f t="shared" ref="B19:M19" si="6">270*1</f>
        <v>270</v>
      </c>
      <c r="C19" s="45">
        <f t="shared" si="6"/>
        <v>270</v>
      </c>
      <c r="D19" s="45">
        <f t="shared" si="6"/>
        <v>270</v>
      </c>
      <c r="E19" s="45">
        <f t="shared" si="6"/>
        <v>270</v>
      </c>
      <c r="F19" s="45">
        <f t="shared" si="6"/>
        <v>270</v>
      </c>
      <c r="G19" s="45">
        <f t="shared" si="6"/>
        <v>270</v>
      </c>
      <c r="H19" s="45">
        <f t="shared" si="6"/>
        <v>270</v>
      </c>
      <c r="I19" s="45">
        <f t="shared" si="6"/>
        <v>270</v>
      </c>
      <c r="J19" s="45">
        <f t="shared" si="6"/>
        <v>270</v>
      </c>
      <c r="K19" s="45">
        <f t="shared" si="6"/>
        <v>270</v>
      </c>
      <c r="L19" s="45">
        <f t="shared" si="6"/>
        <v>270</v>
      </c>
      <c r="M19" s="45">
        <f t="shared" si="6"/>
        <v>270</v>
      </c>
    </row>
    <row r="20" spans="1:13" ht="20" customHeight="1" x14ac:dyDescent="0.2">
      <c r="A20" s="43" t="s">
        <v>58</v>
      </c>
      <c r="B20" s="45">
        <f>14.25*1200</f>
        <v>17100</v>
      </c>
      <c r="C20" s="45">
        <f>12.75*1200</f>
        <v>15300</v>
      </c>
      <c r="D20" s="45">
        <f>11.25*1200</f>
        <v>13500</v>
      </c>
      <c r="E20" s="45">
        <f>9.75*1200</f>
        <v>11700</v>
      </c>
      <c r="F20" s="45">
        <f>11.25*1200</f>
        <v>13500</v>
      </c>
      <c r="G20" s="45">
        <f>9.75*1200</f>
        <v>11700</v>
      </c>
      <c r="H20" s="45">
        <f>10.25*1200</f>
        <v>12300</v>
      </c>
      <c r="I20" s="45">
        <f>8.75*1200</f>
        <v>10500</v>
      </c>
      <c r="J20" s="45">
        <f>10.25*1200</f>
        <v>12300</v>
      </c>
      <c r="K20" s="45">
        <f>8.75*1200</f>
        <v>10500</v>
      </c>
      <c r="L20" s="45">
        <f>9.75*1200</f>
        <v>11700</v>
      </c>
      <c r="M20" s="45">
        <f>8.25*1200</f>
        <v>9900</v>
      </c>
    </row>
    <row r="21" spans="1:13" ht="20" customHeight="1" x14ac:dyDescent="0.2">
      <c r="A21" s="43" t="s">
        <v>59</v>
      </c>
      <c r="B21" s="45">
        <f>B36</f>
        <v>51227</v>
      </c>
      <c r="C21" s="45">
        <f t="shared" ref="C21:M21" si="7">C36</f>
        <v>40827</v>
      </c>
      <c r="D21" s="45">
        <f t="shared" si="7"/>
        <v>32386</v>
      </c>
      <c r="E21" s="45">
        <f t="shared" si="7"/>
        <v>21986</v>
      </c>
      <c r="F21" s="45">
        <f t="shared" si="7"/>
        <v>29439</v>
      </c>
      <c r="G21" s="45">
        <f t="shared" si="7"/>
        <v>19039</v>
      </c>
      <c r="H21" s="45">
        <f t="shared" si="7"/>
        <v>23396</v>
      </c>
      <c r="I21" s="45">
        <f t="shared" si="7"/>
        <v>12996</v>
      </c>
      <c r="J21" s="45">
        <f t="shared" si="7"/>
        <v>12000</v>
      </c>
      <c r="K21" s="45">
        <f t="shared" si="7"/>
        <v>6600.0000000000009</v>
      </c>
      <c r="L21" s="45">
        <f t="shared" si="7"/>
        <v>7500</v>
      </c>
      <c r="M21" s="45">
        <f t="shared" si="7"/>
        <v>1650</v>
      </c>
    </row>
    <row r="22" spans="1:13" ht="20" customHeight="1" x14ac:dyDescent="0.2">
      <c r="A22" s="46" t="s">
        <v>163</v>
      </c>
      <c r="B22" s="47">
        <f>SUM(B3:B21)</f>
        <v>372502</v>
      </c>
      <c r="C22" s="47">
        <f t="shared" ref="C22:M22" si="8">SUM(C3:C21)</f>
        <v>332782</v>
      </c>
      <c r="D22" s="47">
        <f t="shared" si="8"/>
        <v>229016</v>
      </c>
      <c r="E22" s="47">
        <f t="shared" si="8"/>
        <v>189296</v>
      </c>
      <c r="F22" s="47">
        <f t="shared" si="8"/>
        <v>193404</v>
      </c>
      <c r="G22" s="47">
        <f t="shared" si="8"/>
        <v>153684</v>
      </c>
      <c r="H22" s="47">
        <f t="shared" si="8"/>
        <v>124416</v>
      </c>
      <c r="I22" s="47">
        <f t="shared" si="8"/>
        <v>84696</v>
      </c>
      <c r="J22" s="47">
        <f t="shared" si="8"/>
        <v>105820</v>
      </c>
      <c r="K22" s="47">
        <f t="shared" si="8"/>
        <v>71100</v>
      </c>
      <c r="L22" s="47">
        <f t="shared" si="8"/>
        <v>74125</v>
      </c>
      <c r="M22" s="47">
        <f t="shared" si="8"/>
        <v>38955</v>
      </c>
    </row>
    <row r="23" spans="1:13" ht="20" customHeight="1" x14ac:dyDescent="0.2">
      <c r="A23" s="46"/>
      <c r="B23" s="47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20" customHeight="1" x14ac:dyDescent="0.2">
      <c r="A24" s="48" t="s">
        <v>24</v>
      </c>
      <c r="B24" s="47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20" customHeight="1" x14ac:dyDescent="0.2">
      <c r="A25" s="48" t="s">
        <v>60</v>
      </c>
      <c r="B25" s="47">
        <f>0.21913*B22</f>
        <v>81626.363259999998</v>
      </c>
      <c r="C25" s="47">
        <f t="shared" ref="C25:M25" si="9">0.21913*C22</f>
        <v>72922.519659999991</v>
      </c>
      <c r="D25" s="47">
        <f t="shared" si="9"/>
        <v>50184.276079999996</v>
      </c>
      <c r="E25" s="47">
        <f t="shared" si="9"/>
        <v>41480.432479999996</v>
      </c>
      <c r="F25" s="47">
        <f t="shared" si="9"/>
        <v>42380.618519999996</v>
      </c>
      <c r="G25" s="47">
        <f t="shared" si="9"/>
        <v>33676.774919999996</v>
      </c>
      <c r="H25" s="47">
        <f t="shared" si="9"/>
        <v>27263.27808</v>
      </c>
      <c r="I25" s="47">
        <f t="shared" si="9"/>
        <v>18559.43448</v>
      </c>
      <c r="J25" s="47">
        <f t="shared" si="9"/>
        <v>23188.336599999999</v>
      </c>
      <c r="K25" s="47">
        <f t="shared" si="9"/>
        <v>15580.143</v>
      </c>
      <c r="L25" s="47">
        <f t="shared" si="9"/>
        <v>16243.01125</v>
      </c>
      <c r="M25" s="47">
        <f t="shared" si="9"/>
        <v>8536.2091499999988</v>
      </c>
    </row>
    <row r="26" spans="1:13" ht="20" customHeight="1" x14ac:dyDescent="0.2">
      <c r="A26" s="48" t="s">
        <v>61</v>
      </c>
      <c r="B26" s="47">
        <f>B25*5</f>
        <v>408131.81630000001</v>
      </c>
      <c r="C26" s="47">
        <f t="shared" ref="C26:M26" si="10">C25*5</f>
        <v>364612.59829999995</v>
      </c>
      <c r="D26" s="47">
        <f t="shared" si="10"/>
        <v>250921.38039999997</v>
      </c>
      <c r="E26" s="47">
        <f t="shared" si="10"/>
        <v>207402.16239999997</v>
      </c>
      <c r="F26" s="47">
        <f t="shared" si="10"/>
        <v>211903.09259999997</v>
      </c>
      <c r="G26" s="47">
        <f t="shared" si="10"/>
        <v>168383.87459999998</v>
      </c>
      <c r="H26" s="47">
        <f t="shared" si="10"/>
        <v>136316.3904</v>
      </c>
      <c r="I26" s="47">
        <f t="shared" si="10"/>
        <v>92797.172399999996</v>
      </c>
      <c r="J26" s="47">
        <f t="shared" si="10"/>
        <v>115941.68299999999</v>
      </c>
      <c r="K26" s="47">
        <f t="shared" si="10"/>
        <v>77900.714999999997</v>
      </c>
      <c r="L26" s="47">
        <f t="shared" si="10"/>
        <v>81215.056249999994</v>
      </c>
      <c r="M26" s="47">
        <f t="shared" si="10"/>
        <v>42681.04574999999</v>
      </c>
    </row>
    <row r="27" spans="1:13" ht="20" customHeight="1" x14ac:dyDescent="0.2">
      <c r="A27" s="43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ht="20" customHeight="1" x14ac:dyDescent="0.2">
      <c r="A28" s="46" t="s">
        <v>27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ht="20" customHeight="1" x14ac:dyDescent="0.2">
      <c r="A29" s="43" t="s">
        <v>62</v>
      </c>
      <c r="B29" s="45">
        <f>8000*1</f>
        <v>8000</v>
      </c>
      <c r="C29" s="45">
        <v>0</v>
      </c>
      <c r="D29" s="45">
        <f>8000*1</f>
        <v>8000</v>
      </c>
      <c r="E29" s="45">
        <v>0</v>
      </c>
      <c r="F29" s="45">
        <f>8000*1</f>
        <v>8000</v>
      </c>
      <c r="G29" s="45">
        <v>0</v>
      </c>
      <c r="H29" s="45">
        <f>8000*1</f>
        <v>8000</v>
      </c>
      <c r="I29" s="45">
        <v>0</v>
      </c>
      <c r="J29" s="45"/>
      <c r="K29" s="45"/>
      <c r="L29" s="45"/>
      <c r="M29" s="45"/>
    </row>
    <row r="30" spans="1:13" ht="20" customHeight="1" x14ac:dyDescent="0.2">
      <c r="A30" s="43" t="s">
        <v>63</v>
      </c>
      <c r="B30" s="45">
        <f>2400*1</f>
        <v>2400</v>
      </c>
      <c r="C30" s="45">
        <v>0</v>
      </c>
      <c r="D30" s="45">
        <f>2400*1</f>
        <v>2400</v>
      </c>
      <c r="E30" s="45">
        <v>0</v>
      </c>
      <c r="F30" s="45">
        <f>2400*1</f>
        <v>2400</v>
      </c>
      <c r="G30" s="45">
        <v>0</v>
      </c>
      <c r="H30" s="45">
        <f>2400*1</f>
        <v>2400</v>
      </c>
      <c r="I30" s="45">
        <v>0</v>
      </c>
      <c r="J30" s="45"/>
      <c r="K30" s="45"/>
      <c r="L30" s="45"/>
      <c r="M30" s="45"/>
    </row>
    <row r="31" spans="1:13" ht="20" customHeight="1" x14ac:dyDescent="0.2">
      <c r="A31" s="43" t="s">
        <v>64</v>
      </c>
      <c r="B31" s="45">
        <f>10000*2</f>
        <v>20000</v>
      </c>
      <c r="C31" s="45">
        <f>10000*2</f>
        <v>20000</v>
      </c>
      <c r="D31" s="45">
        <f t="shared" ref="D31:I31" si="11">10000*1</f>
        <v>10000</v>
      </c>
      <c r="E31" s="45">
        <f t="shared" si="11"/>
        <v>10000</v>
      </c>
      <c r="F31" s="45">
        <f t="shared" si="11"/>
        <v>10000</v>
      </c>
      <c r="G31" s="45">
        <f t="shared" si="11"/>
        <v>10000</v>
      </c>
      <c r="H31" s="45">
        <f t="shared" si="11"/>
        <v>10000</v>
      </c>
      <c r="I31" s="45">
        <f t="shared" si="11"/>
        <v>10000</v>
      </c>
      <c r="J31" s="45"/>
      <c r="K31" s="45"/>
      <c r="L31" s="45"/>
      <c r="M31" s="45"/>
    </row>
    <row r="32" spans="1:13" ht="20" customHeight="1" x14ac:dyDescent="0.2">
      <c r="A32" s="43" t="s">
        <v>65</v>
      </c>
      <c r="B32" s="45">
        <f>2500*6</f>
        <v>15000</v>
      </c>
      <c r="C32" s="45">
        <f>2500*6</f>
        <v>15000</v>
      </c>
      <c r="D32" s="45">
        <f>2500*3</f>
        <v>7500</v>
      </c>
      <c r="E32" s="45">
        <f>2500*3</f>
        <v>7500</v>
      </c>
      <c r="F32" s="45">
        <f>2500*2</f>
        <v>5000</v>
      </c>
      <c r="G32" s="45">
        <f>2500*2</f>
        <v>5000</v>
      </c>
      <c r="H32" s="45">
        <v>0</v>
      </c>
      <c r="I32" s="45">
        <v>0</v>
      </c>
      <c r="J32" s="45"/>
      <c r="K32" s="45"/>
      <c r="L32" s="45"/>
      <c r="M32" s="45"/>
    </row>
    <row r="33" spans="1:13" ht="20" customHeight="1" x14ac:dyDescent="0.2">
      <c r="A33" s="43" t="s">
        <v>66</v>
      </c>
      <c r="B33" s="45">
        <f t="shared" ref="B33:I33" si="12">2400*1</f>
        <v>2400</v>
      </c>
      <c r="C33" s="45">
        <f t="shared" si="12"/>
        <v>2400</v>
      </c>
      <c r="D33" s="45">
        <f t="shared" si="12"/>
        <v>2400</v>
      </c>
      <c r="E33" s="45">
        <f t="shared" si="12"/>
        <v>2400</v>
      </c>
      <c r="F33" s="45">
        <f t="shared" si="12"/>
        <v>2400</v>
      </c>
      <c r="G33" s="45">
        <f t="shared" si="12"/>
        <v>2400</v>
      </c>
      <c r="H33" s="45">
        <f t="shared" si="12"/>
        <v>2400</v>
      </c>
      <c r="I33" s="45">
        <f t="shared" si="12"/>
        <v>2400</v>
      </c>
      <c r="J33" s="45"/>
      <c r="K33" s="45"/>
      <c r="L33" s="45"/>
      <c r="M33" s="45"/>
    </row>
    <row r="34" spans="1:13" ht="20" customHeight="1" x14ac:dyDescent="0.2">
      <c r="A34" s="43" t="s">
        <v>67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/>
      <c r="K34" s="45"/>
      <c r="L34" s="45"/>
      <c r="M34" s="45"/>
    </row>
    <row r="35" spans="1:13" ht="20" customHeight="1" x14ac:dyDescent="0.2">
      <c r="A35" s="43" t="s">
        <v>68</v>
      </c>
      <c r="B35" s="45">
        <f>149*23</f>
        <v>3427</v>
      </c>
      <c r="C35" s="45">
        <f>149*23</f>
        <v>3427</v>
      </c>
      <c r="D35" s="45">
        <f>149*14</f>
        <v>2086</v>
      </c>
      <c r="E35" s="45">
        <f>149*14</f>
        <v>2086</v>
      </c>
      <c r="F35" s="45">
        <f>149*11</f>
        <v>1639</v>
      </c>
      <c r="G35" s="45">
        <f>149*11</f>
        <v>1639</v>
      </c>
      <c r="H35" s="45">
        <f>149*4</f>
        <v>596</v>
      </c>
      <c r="I35" s="45">
        <f>149*4</f>
        <v>596</v>
      </c>
      <c r="J35" s="45"/>
      <c r="K35" s="45"/>
      <c r="L35" s="45"/>
      <c r="M35" s="45"/>
    </row>
    <row r="36" spans="1:13" ht="20" customHeight="1" x14ac:dyDescent="0.2">
      <c r="A36" s="46" t="s">
        <v>36</v>
      </c>
      <c r="B36" s="47">
        <f t="shared" ref="B36:I36" si="13">SUM(B29:B35)</f>
        <v>51227</v>
      </c>
      <c r="C36" s="47">
        <f t="shared" si="13"/>
        <v>40827</v>
      </c>
      <c r="D36" s="47">
        <f t="shared" si="13"/>
        <v>32386</v>
      </c>
      <c r="E36" s="47">
        <f t="shared" si="13"/>
        <v>21986</v>
      </c>
      <c r="F36" s="47">
        <f t="shared" si="13"/>
        <v>29439</v>
      </c>
      <c r="G36" s="47">
        <f t="shared" si="13"/>
        <v>19039</v>
      </c>
      <c r="H36" s="47">
        <f t="shared" si="13"/>
        <v>23396</v>
      </c>
      <c r="I36" s="47">
        <f t="shared" si="13"/>
        <v>12996</v>
      </c>
      <c r="J36" s="44">
        <v>12000</v>
      </c>
      <c r="K36" s="44">
        <v>6600.0000000000009</v>
      </c>
      <c r="L36" s="44">
        <v>7500</v>
      </c>
      <c r="M36" s="44">
        <v>1650</v>
      </c>
    </row>
    <row r="37" spans="1:13" ht="20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50"/>
    </row>
    <row r="38" spans="1:13" ht="20" customHeight="1" x14ac:dyDescent="0.2">
      <c r="A38" s="40" t="s">
        <v>69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  <c r="L38" s="50"/>
      <c r="M38" s="50"/>
    </row>
    <row r="39" spans="1:13" ht="20" customHeight="1" x14ac:dyDescent="0.2">
      <c r="A39" s="46" t="s">
        <v>38</v>
      </c>
      <c r="B39" s="53">
        <f t="shared" ref="B39:M39" si="14">B22+(B36*9)</f>
        <v>833545</v>
      </c>
      <c r="C39" s="53">
        <f t="shared" si="14"/>
        <v>700225</v>
      </c>
      <c r="D39" s="53">
        <f t="shared" si="14"/>
        <v>520490</v>
      </c>
      <c r="E39" s="53">
        <f t="shared" si="14"/>
        <v>387170</v>
      </c>
      <c r="F39" s="53">
        <f t="shared" si="14"/>
        <v>458355</v>
      </c>
      <c r="G39" s="53">
        <f t="shared" si="14"/>
        <v>325035</v>
      </c>
      <c r="H39" s="53">
        <f t="shared" si="14"/>
        <v>334980</v>
      </c>
      <c r="I39" s="53">
        <f t="shared" si="14"/>
        <v>201660</v>
      </c>
      <c r="J39" s="53">
        <f t="shared" si="14"/>
        <v>213820</v>
      </c>
      <c r="K39" s="53">
        <f t="shared" si="14"/>
        <v>130500</v>
      </c>
      <c r="L39" s="53">
        <f t="shared" si="14"/>
        <v>141625</v>
      </c>
      <c r="M39" s="53">
        <f t="shared" si="14"/>
        <v>53805</v>
      </c>
    </row>
    <row r="40" spans="1:13" ht="20" customHeight="1" x14ac:dyDescent="0.2">
      <c r="A40" s="40" t="s">
        <v>70</v>
      </c>
      <c r="B40" s="54">
        <f t="shared" ref="B40:M40" si="15">(B25*5)+(B36*9)</f>
        <v>869174.81630000006</v>
      </c>
      <c r="C40" s="54">
        <f t="shared" si="15"/>
        <v>732055.59829999995</v>
      </c>
      <c r="D40" s="54">
        <f t="shared" si="15"/>
        <v>542395.38039999991</v>
      </c>
      <c r="E40" s="54">
        <f t="shared" si="15"/>
        <v>405276.16239999997</v>
      </c>
      <c r="F40" s="54">
        <f t="shared" si="15"/>
        <v>476854.09259999997</v>
      </c>
      <c r="G40" s="54">
        <f t="shared" si="15"/>
        <v>339734.87459999998</v>
      </c>
      <c r="H40" s="54">
        <f t="shared" si="15"/>
        <v>346880.39040000003</v>
      </c>
      <c r="I40" s="54">
        <f t="shared" si="15"/>
        <v>209761.17239999998</v>
      </c>
      <c r="J40" s="54">
        <f t="shared" si="15"/>
        <v>223941.68299999999</v>
      </c>
      <c r="K40" s="54">
        <f t="shared" si="15"/>
        <v>137300.715</v>
      </c>
      <c r="L40" s="54">
        <f t="shared" si="15"/>
        <v>148715.05624999999</v>
      </c>
      <c r="M40" s="54">
        <f t="shared" si="15"/>
        <v>57531.04574999999</v>
      </c>
    </row>
    <row r="41" spans="1:13" ht="20" customHeight="1" x14ac:dyDescent="0.2">
      <c r="A41" s="40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ht="20" customHeight="1" x14ac:dyDescent="0.2">
      <c r="A42" s="55" t="s">
        <v>71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ht="20" customHeight="1" x14ac:dyDescent="0.2">
      <c r="A43" s="40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1:13" ht="20" customHeight="1" x14ac:dyDescent="0.2">
      <c r="A44" s="40" t="s">
        <v>72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3" ht="20" customHeight="1" x14ac:dyDescent="0.2">
      <c r="A45" s="57" t="s">
        <v>73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</row>
    <row r="46" spans="1:13" ht="32" x14ac:dyDescent="0.2">
      <c r="A46" s="81" t="s">
        <v>74</v>
      </c>
      <c r="B46" s="82"/>
      <c r="C46" s="42"/>
      <c r="D46" s="42"/>
      <c r="E46" s="42"/>
      <c r="F46" s="42"/>
      <c r="G46" s="42"/>
      <c r="H46" s="42"/>
      <c r="I46" s="42"/>
      <c r="J46" s="42"/>
      <c r="K46" s="51"/>
      <c r="L46" s="42"/>
      <c r="M46" s="51"/>
    </row>
    <row r="47" spans="1:13" ht="20" customHeight="1" x14ac:dyDescent="0.2">
      <c r="A47" s="83" t="s">
        <v>75</v>
      </c>
      <c r="B47" s="8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ht="20" customHeight="1" x14ac:dyDescent="0.2">
      <c r="A48" s="43" t="s">
        <v>76</v>
      </c>
      <c r="B48" s="8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ht="20" customHeight="1" x14ac:dyDescent="0.2">
      <c r="A49" s="49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">
      <c r="A50" s="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">
      <c r="A51" s="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</sheetData>
  <printOptions gridLines="1"/>
  <pageMargins left="0.7" right="0.7" top="0.75" bottom="0.75" header="0.3" footer="0.3"/>
  <pageSetup paperSize="17" scale="67" orientation="landscape" r:id="rId1"/>
  <headerFooter>
    <oddFooter>&amp;L&amp;F&amp;CPage &amp;P of &amp;N&amp;RFinal Version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Comparison</vt:lpstr>
      <vt:lpstr>Clear Ballot Detail</vt:lpstr>
      <vt:lpstr>Dominion Detail</vt:lpstr>
      <vt:lpstr>ES&amp;S Detail</vt:lpstr>
      <vt:lpstr>Hart Detail</vt:lpstr>
      <vt:lpstr>'Clear Ballot Detail'!Print_Area</vt:lpstr>
      <vt:lpstr>'Dominion Detail'!Print_Area</vt:lpstr>
      <vt:lpstr>'ES&amp;S Detail'!Print_Area</vt:lpstr>
      <vt:lpstr>'Hart Detail'!Print_Area</vt:lpstr>
      <vt:lpstr>'Summary Comparison'!Print_Area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Dwight Shellman</dc:creator>
  <cp:lastModifiedBy>Amy Grant</cp:lastModifiedBy>
  <cp:lastPrinted>2015-12-17T19:59:41Z</cp:lastPrinted>
  <dcterms:created xsi:type="dcterms:W3CDTF">2015-12-10T17:07:21Z</dcterms:created>
  <dcterms:modified xsi:type="dcterms:W3CDTF">2022-03-24T20:58:52Z</dcterms:modified>
</cp:coreProperties>
</file>